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Library/Group Containers/UBF8T346G9.Office/User Content.localized/Templates.localized/"/>
    </mc:Choice>
  </mc:AlternateContent>
  <xr:revisionPtr revIDLastSave="0" documentId="13_ncr:1_{32B69055-8C98-BE46-A947-D84D5D03EC46}" xr6:coauthVersionLast="47" xr6:coauthVersionMax="47" xr10:uidLastSave="{00000000-0000-0000-0000-000000000000}"/>
  <bookViews>
    <workbookView xWindow="3720" yWindow="12140" windowWidth="37240" windowHeight="28640" xr2:uid="{00000000-000D-0000-FFFF-FFFF00000000}"/>
  </bookViews>
  <sheets>
    <sheet name="Std Dev Prob" sheetId="1" r:id="rId1"/>
    <sheet name="Alf Formul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8" i="1"/>
  <c r="Q21" i="1"/>
  <c r="P21" i="1"/>
  <c r="Q19" i="1"/>
  <c r="P19" i="1"/>
  <c r="Q16" i="1"/>
  <c r="P16" i="1"/>
  <c r="Q14" i="1"/>
  <c r="P14" i="1"/>
  <c r="Q11" i="1"/>
  <c r="P11" i="1"/>
  <c r="Q9" i="1"/>
  <c r="P9" i="1"/>
  <c r="Q38" i="1"/>
  <c r="P35" i="1"/>
  <c r="R52" i="1"/>
  <c r="P52" i="1" s="1"/>
  <c r="R51" i="1"/>
  <c r="Q51" i="1" s="1"/>
  <c r="Q52" i="1" l="1"/>
  <c r="P51" i="1"/>
  <c r="L28" i="1"/>
  <c r="L30" i="1" s="1"/>
  <c r="I30" i="1" s="1"/>
  <c r="L3" i="1"/>
  <c r="L5" i="1" s="1"/>
  <c r="K21" i="1" s="1"/>
  <c r="U31" i="1"/>
  <c r="X28" i="1"/>
  <c r="X30" i="1" s="1"/>
  <c r="U30" i="1" s="1"/>
  <c r="U6" i="1"/>
  <c r="X3" i="1"/>
  <c r="X5" i="1" s="1"/>
  <c r="C31" i="1"/>
  <c r="F28" i="1"/>
  <c r="F30" i="1" s="1"/>
  <c r="C30" i="1" s="1"/>
  <c r="O31" i="1"/>
  <c r="R28" i="1"/>
  <c r="O30" i="1" s="1"/>
  <c r="O6" i="1"/>
  <c r="R3" i="1"/>
  <c r="I6" i="1"/>
  <c r="I31" i="1"/>
  <c r="V21" i="1" l="1"/>
  <c r="W21" i="1"/>
  <c r="V19" i="1"/>
  <c r="W19" i="1"/>
  <c r="K19" i="1"/>
  <c r="J21" i="1"/>
  <c r="J19" i="1"/>
  <c r="X52" i="1"/>
  <c r="X51" i="1"/>
  <c r="L52" i="1"/>
  <c r="L51" i="1"/>
  <c r="F51" i="1"/>
  <c r="F52" i="1"/>
  <c r="F50" i="1"/>
  <c r="R35" i="1"/>
  <c r="X35" i="1"/>
  <c r="W35" i="1" s="1"/>
  <c r="L35" i="1"/>
  <c r="F35" i="1"/>
  <c r="D35" i="1" s="1"/>
  <c r="F36" i="1"/>
  <c r="X38" i="1"/>
  <c r="W38" i="1" s="1"/>
  <c r="X44" i="1"/>
  <c r="X46" i="1"/>
  <c r="W46" i="1" s="1"/>
  <c r="X39" i="1"/>
  <c r="X47" i="1"/>
  <c r="X41" i="1"/>
  <c r="X49" i="1"/>
  <c r="X36" i="1"/>
  <c r="L37" i="1"/>
  <c r="X42" i="1"/>
  <c r="X50" i="1"/>
  <c r="X37" i="1"/>
  <c r="X45" i="1"/>
  <c r="X40" i="1"/>
  <c r="X48" i="1"/>
  <c r="X43" i="1"/>
  <c r="R38" i="1"/>
  <c r="R46" i="1"/>
  <c r="R41" i="1"/>
  <c r="R49" i="1"/>
  <c r="R36" i="1"/>
  <c r="R44" i="1"/>
  <c r="R39" i="1"/>
  <c r="R47" i="1"/>
  <c r="R42" i="1"/>
  <c r="R50" i="1"/>
  <c r="R37" i="1"/>
  <c r="R45" i="1"/>
  <c r="R40" i="1"/>
  <c r="R48" i="1"/>
  <c r="R43" i="1"/>
  <c r="L49" i="1"/>
  <c r="L36" i="1"/>
  <c r="L44" i="1"/>
  <c r="L38" i="1"/>
  <c r="K38" i="1" s="1"/>
  <c r="L46" i="1"/>
  <c r="L41" i="1"/>
  <c r="L39" i="1"/>
  <c r="L47" i="1"/>
  <c r="L50" i="1"/>
  <c r="L42" i="1"/>
  <c r="L45" i="1"/>
  <c r="L40" i="1"/>
  <c r="L48" i="1"/>
  <c r="L43" i="1"/>
  <c r="F44" i="1"/>
  <c r="F39" i="1"/>
  <c r="E39" i="1" s="1"/>
  <c r="F47" i="1"/>
  <c r="F41" i="1"/>
  <c r="F49" i="1"/>
  <c r="D49" i="1" s="1"/>
  <c r="F42" i="1"/>
  <c r="F37" i="1"/>
  <c r="F45" i="1"/>
  <c r="F40" i="1"/>
  <c r="F48" i="1"/>
  <c r="F38" i="1"/>
  <c r="E38" i="1" s="1"/>
  <c r="F46" i="1"/>
  <c r="F43" i="1"/>
  <c r="U5" i="1"/>
  <c r="U13" i="1" s="1"/>
  <c r="O5" i="1"/>
  <c r="O14" i="1" s="1"/>
  <c r="Q25" i="1"/>
  <c r="I5" i="1"/>
  <c r="C6" i="1"/>
  <c r="X22" i="1" l="1"/>
  <c r="I8" i="1"/>
  <c r="I13" i="1"/>
  <c r="U8" i="1"/>
  <c r="U11" i="1" s="1"/>
  <c r="V35" i="1"/>
  <c r="J35" i="1"/>
  <c r="K35" i="1"/>
  <c r="I14" i="1"/>
  <c r="K14" i="1" s="1"/>
  <c r="D50" i="1"/>
  <c r="E50" i="1"/>
  <c r="E49" i="1"/>
  <c r="W51" i="1"/>
  <c r="V51" i="1"/>
  <c r="W52" i="1"/>
  <c r="V52" i="1"/>
  <c r="J51" i="1"/>
  <c r="K51" i="1"/>
  <c r="K52" i="1"/>
  <c r="J52" i="1"/>
  <c r="E52" i="1"/>
  <c r="D52" i="1"/>
  <c r="Q35" i="1"/>
  <c r="E35" i="1"/>
  <c r="E36" i="1"/>
  <c r="D36" i="1"/>
  <c r="R22" i="1"/>
  <c r="L22" i="1"/>
  <c r="V38" i="1"/>
  <c r="W36" i="1"/>
  <c r="V36" i="1"/>
  <c r="V49" i="1"/>
  <c r="W49" i="1"/>
  <c r="V41" i="1"/>
  <c r="W41" i="1"/>
  <c r="W47" i="1"/>
  <c r="V47" i="1"/>
  <c r="W39" i="1"/>
  <c r="V39" i="1"/>
  <c r="V46" i="1"/>
  <c r="W44" i="1"/>
  <c r="V44" i="1"/>
  <c r="W40" i="1"/>
  <c r="V40" i="1"/>
  <c r="W45" i="1"/>
  <c r="V45" i="1"/>
  <c r="W42" i="1"/>
  <c r="V42" i="1"/>
  <c r="W48" i="1"/>
  <c r="V48" i="1"/>
  <c r="W37" i="1"/>
  <c r="V37" i="1"/>
  <c r="W50" i="1"/>
  <c r="V50" i="1"/>
  <c r="W43" i="1"/>
  <c r="V43" i="1"/>
  <c r="Q48" i="1"/>
  <c r="P48" i="1"/>
  <c r="Q44" i="1"/>
  <c r="P44" i="1"/>
  <c r="Q40" i="1"/>
  <c r="P40" i="1"/>
  <c r="Q36" i="1"/>
  <c r="P36" i="1"/>
  <c r="P49" i="1"/>
  <c r="Q49" i="1"/>
  <c r="P41" i="1"/>
  <c r="Q41" i="1"/>
  <c r="Q50" i="1"/>
  <c r="P50" i="1"/>
  <c r="Q46" i="1"/>
  <c r="P46" i="1"/>
  <c r="P38" i="1"/>
  <c r="Q45" i="1"/>
  <c r="P45" i="1"/>
  <c r="Q37" i="1"/>
  <c r="P37" i="1"/>
  <c r="Q42" i="1"/>
  <c r="P42" i="1"/>
  <c r="Q47" i="1"/>
  <c r="P47" i="1"/>
  <c r="Q43" i="1"/>
  <c r="P43" i="1"/>
  <c r="Q39" i="1"/>
  <c r="P39" i="1"/>
  <c r="K48" i="1"/>
  <c r="J48" i="1"/>
  <c r="K44" i="1"/>
  <c r="J44" i="1"/>
  <c r="K46" i="1"/>
  <c r="J46" i="1"/>
  <c r="J38" i="1"/>
  <c r="K37" i="1"/>
  <c r="J37" i="1"/>
  <c r="K42" i="1"/>
  <c r="J42" i="1"/>
  <c r="K36" i="1"/>
  <c r="J36" i="1"/>
  <c r="K40" i="1"/>
  <c r="J40" i="1"/>
  <c r="K50" i="1"/>
  <c r="J50" i="1"/>
  <c r="J49" i="1"/>
  <c r="K49" i="1"/>
  <c r="K45" i="1"/>
  <c r="J45" i="1"/>
  <c r="J41" i="1"/>
  <c r="K41" i="1"/>
  <c r="J47" i="1"/>
  <c r="K47" i="1"/>
  <c r="K43" i="1"/>
  <c r="J43" i="1"/>
  <c r="J39" i="1"/>
  <c r="K39" i="1"/>
  <c r="D37" i="1"/>
  <c r="E37" i="1"/>
  <c r="K25" i="1"/>
  <c r="D47" i="1"/>
  <c r="E47" i="1"/>
  <c r="E40" i="1"/>
  <c r="D40" i="1"/>
  <c r="D39" i="1"/>
  <c r="E46" i="1"/>
  <c r="D46" i="1"/>
  <c r="D38" i="1"/>
  <c r="E45" i="1"/>
  <c r="D45" i="1"/>
  <c r="D44" i="1"/>
  <c r="E44" i="1"/>
  <c r="E48" i="1"/>
  <c r="D48" i="1"/>
  <c r="D41" i="1"/>
  <c r="E41" i="1"/>
  <c r="E51" i="1"/>
  <c r="D51" i="1"/>
  <c r="E43" i="1"/>
  <c r="D43" i="1"/>
  <c r="E42" i="1"/>
  <c r="D42" i="1"/>
  <c r="U16" i="1"/>
  <c r="W16" i="1" s="1"/>
  <c r="W25" i="1"/>
  <c r="O11" i="1"/>
  <c r="O16" i="1"/>
  <c r="R14" i="1"/>
  <c r="F3" i="1"/>
  <c r="F5" i="1" s="1"/>
  <c r="U9" i="1" l="1"/>
  <c r="W9" i="1" s="1"/>
  <c r="V11" i="1"/>
  <c r="X11" i="1"/>
  <c r="W11" i="1"/>
  <c r="V16" i="1"/>
  <c r="J14" i="1"/>
  <c r="D21" i="1"/>
  <c r="E21" i="1"/>
  <c r="D19" i="1"/>
  <c r="E19" i="1"/>
  <c r="I11" i="1"/>
  <c r="K11" i="1" s="1"/>
  <c r="I16" i="1"/>
  <c r="K16" i="1" s="1"/>
  <c r="R17" i="1"/>
  <c r="C5" i="1"/>
  <c r="C13" i="1" s="1"/>
  <c r="L14" i="1"/>
  <c r="R16" i="1"/>
  <c r="U14" i="1"/>
  <c r="X16" i="1"/>
  <c r="O9" i="1"/>
  <c r="I9" i="1"/>
  <c r="K9" i="1" s="1"/>
  <c r="Q24" i="1"/>
  <c r="R11" i="1"/>
  <c r="X9" i="1" l="1"/>
  <c r="V9" i="1"/>
  <c r="X12" i="1" s="1"/>
  <c r="W23" i="1"/>
  <c r="C8" i="1"/>
  <c r="C11" i="1" s="1"/>
  <c r="V14" i="1"/>
  <c r="X17" i="1" s="1"/>
  <c r="W14" i="1"/>
  <c r="W24" i="1" s="1"/>
  <c r="L16" i="1"/>
  <c r="J16" i="1"/>
  <c r="L17" i="1" s="1"/>
  <c r="J11" i="1"/>
  <c r="J9" i="1"/>
  <c r="L11" i="1"/>
  <c r="K24" i="1"/>
  <c r="F22" i="1"/>
  <c r="R12" i="1"/>
  <c r="Q23" i="1"/>
  <c r="C16" i="1"/>
  <c r="R9" i="1"/>
  <c r="L9" i="1"/>
  <c r="X14" i="1"/>
  <c r="K23" i="1"/>
  <c r="D11" i="1" l="1"/>
  <c r="E11" i="1"/>
  <c r="F11" i="1"/>
  <c r="C9" i="1"/>
  <c r="E9" i="1" s="1"/>
  <c r="D16" i="1"/>
  <c r="E16" i="1"/>
  <c r="L12" i="1"/>
  <c r="F16" i="1"/>
  <c r="C14" i="1"/>
  <c r="E14" i="1" s="1"/>
  <c r="E25" i="1"/>
  <c r="D9" i="1" l="1"/>
  <c r="F12" i="1" s="1"/>
  <c r="F9" i="1"/>
  <c r="E23" i="1"/>
  <c r="F14" i="1"/>
  <c r="D14" i="1"/>
  <c r="F17" i="1" s="1"/>
  <c r="E24" i="1"/>
</calcChain>
</file>

<file path=xl/sharedStrings.xml><?xml version="1.0" encoding="utf-8"?>
<sst xmlns="http://schemas.openxmlformats.org/spreadsheetml/2006/main" count="257" uniqueCount="57">
  <si>
    <t>1 SD</t>
  </si>
  <si>
    <t>DIA</t>
  </si>
  <si>
    <t>£/$</t>
  </si>
  <si>
    <t>€/£</t>
  </si>
  <si>
    <t>2 SD</t>
  </si>
  <si>
    <t>CL</t>
  </si>
  <si>
    <t>Win Prob</t>
  </si>
  <si>
    <t>Sqrt DTE</t>
  </si>
  <si>
    <t>Close Above Target</t>
  </si>
  <si>
    <t>Close Below Target</t>
  </si>
  <si>
    <t>Short Call Target Plus 1 SD</t>
  </si>
  <si>
    <t>1 SD Short Strangle Prob</t>
  </si>
  <si>
    <t>2 SD Short Strangle Prob</t>
  </si>
  <si>
    <t>Manual Short Strangle Prob</t>
  </si>
  <si>
    <t>Short Put Target Minus 1 SD</t>
  </si>
  <si>
    <t>Short Call Target Plus 2 SD</t>
  </si>
  <si>
    <t>Short Put Target Minus 2 SD</t>
  </si>
  <si>
    <t>Sqrt 252</t>
  </si>
  <si>
    <t>Winning % Prob</t>
  </si>
  <si>
    <t>Lower Price</t>
  </si>
  <si>
    <t>Upper Price</t>
  </si>
  <si>
    <t>Std Devs</t>
  </si>
  <si>
    <t>3 SD</t>
  </si>
  <si>
    <t>2.57583 SD</t>
  </si>
  <si>
    <t>2.326348 SD</t>
  </si>
  <si>
    <t>1.64485 SD</t>
  </si>
  <si>
    <t>1.281551 SD</t>
  </si>
  <si>
    <t>1.15035 SD</t>
  </si>
  <si>
    <t>0.934589 SD</t>
  </si>
  <si>
    <t xml:space="preserve"> 0.841621 SD</t>
  </si>
  <si>
    <t>0.755415 SD</t>
  </si>
  <si>
    <t>0.67449 SD</t>
  </si>
  <si>
    <t>0.597760 SD</t>
  </si>
  <si>
    <t>Z Score/Std Devs</t>
  </si>
  <si>
    <t>1.036433 SD</t>
  </si>
  <si>
    <t>1.439531 SD</t>
  </si>
  <si>
    <r>
      <t>Stock Price</t>
    </r>
    <r>
      <rPr>
        <b/>
        <sz val="11"/>
        <color theme="9"/>
        <rFont val="Calibri (Body)"/>
      </rPr>
      <t>&gt;&gt;</t>
    </r>
  </si>
  <si>
    <r>
      <t>Implied Volatility</t>
    </r>
    <r>
      <rPr>
        <b/>
        <sz val="11"/>
        <color theme="9"/>
        <rFont val="Calibri (Body)"/>
      </rPr>
      <t>&gt;&gt;</t>
    </r>
  </si>
  <si>
    <r>
      <t>Date/Exp</t>
    </r>
    <r>
      <rPr>
        <b/>
        <sz val="11"/>
        <color theme="9"/>
        <rFont val="Calibri (Body)"/>
      </rPr>
      <t>&gt;&gt;</t>
    </r>
  </si>
  <si>
    <r>
      <t>Short Call Manual Target</t>
    </r>
    <r>
      <rPr>
        <b/>
        <sz val="11"/>
        <color rgb="FFFFC000"/>
        <rFont val="Calibri (Body)"/>
      </rPr>
      <t>&gt;&gt;</t>
    </r>
  </si>
  <si>
    <r>
      <t>Short Put Manual Target</t>
    </r>
    <r>
      <rPr>
        <b/>
        <sz val="11"/>
        <color rgb="FFFFC000"/>
        <rFont val="Calibri (Body)"/>
      </rPr>
      <t>&gt;&gt;</t>
    </r>
  </si>
  <si>
    <t>Within SD</t>
  </si>
  <si>
    <t>% Change</t>
  </si>
  <si>
    <t>0.524401 SD</t>
  </si>
  <si>
    <t>4 SD</t>
  </si>
  <si>
    <t>7.9916 SD</t>
  </si>
  <si>
    <t>Prob of Price Expiring WITHIN Range</t>
  </si>
  <si>
    <t>J10: =$I$3 - $I$7*NORMSINV(I10 + (1 - I10)/2)</t>
  </si>
  <si>
    <t>I7: =I3*I4*I5/I6</t>
  </si>
  <si>
    <t>K10: =$I$3 + $I$7*NORMSINV(I10 + (1 - I10)/2)</t>
  </si>
  <si>
    <t>I16: =NORMSDIST(2) - NORMSDIST(-2)</t>
  </si>
  <si>
    <t>I22: =NORMSDIST(1) - NORMSDIST(-1)</t>
  </si>
  <si>
    <t>N10: =NORMSINV(I10 + (1 - I10)/2)</t>
  </si>
  <si>
    <t>i7=c8</t>
  </si>
  <si>
    <t>l10=d52</t>
  </si>
  <si>
    <t>Alt Formulas shorturl.at/fmGN8</t>
  </si>
  <si>
    <t>Prob of Exp OUTSIDE = (1 - Winning % Prob)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</si>
</sst>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/>
      <name val="Calibri (Body)"/>
    </font>
    <font>
      <b/>
      <sz val="11"/>
      <color rgb="FFFFC000"/>
      <name val="Calibri (Body)"/>
    </font>
    <font>
      <sz val="15"/>
      <color rgb="FFAD0000"/>
      <name val="Helvetica Neue"/>
      <family val="2"/>
    </font>
    <font>
      <sz val="11"/>
      <color rgb="FF000000"/>
      <name val="Calibri"/>
      <family val="2"/>
    </font>
    <font>
      <sz val="11"/>
      <color rgb="FFAD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10" fontId="0" fillId="0" borderId="0" xfId="2" applyNumberFormat="1" applyFont="1"/>
    <xf numFmtId="0" fontId="0" fillId="2" borderId="2" xfId="0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43" fontId="0" fillId="4" borderId="0" xfId="1" applyFont="1" applyFill="1" applyBorder="1"/>
    <xf numFmtId="0" fontId="0" fillId="4" borderId="5" xfId="0" applyFill="1" applyBorder="1"/>
    <xf numFmtId="0" fontId="0" fillId="4" borderId="0" xfId="0" applyFill="1" applyBorder="1"/>
    <xf numFmtId="0" fontId="0" fillId="2" borderId="0" xfId="0" applyFill="1" applyBorder="1"/>
    <xf numFmtId="0" fontId="0" fillId="2" borderId="5" xfId="0" applyFill="1" applyBorder="1"/>
    <xf numFmtId="0" fontId="2" fillId="6" borderId="4" xfId="0" applyFont="1" applyFill="1" applyBorder="1" applyAlignment="1">
      <alignment horizontal="right"/>
    </xf>
    <xf numFmtId="10" fontId="0" fillId="6" borderId="5" xfId="2" applyNumberFormat="1" applyFont="1" applyFill="1" applyBorder="1"/>
    <xf numFmtId="10" fontId="0" fillId="6" borderId="5" xfId="0" applyNumberFormat="1" applyFill="1" applyBorder="1"/>
    <xf numFmtId="0" fontId="2" fillId="2" borderId="1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10" fontId="0" fillId="5" borderId="5" xfId="2" applyNumberFormat="1" applyFont="1" applyFill="1" applyBorder="1"/>
    <xf numFmtId="10" fontId="0" fillId="2" borderId="5" xfId="2" applyNumberFormat="1" applyFont="1" applyFill="1" applyBorder="1"/>
    <xf numFmtId="1" fontId="0" fillId="6" borderId="0" xfId="1" applyNumberFormat="1" applyFont="1" applyFill="1" applyBorder="1"/>
    <xf numFmtId="2" fontId="0" fillId="2" borderId="0" xfId="1" applyNumberFormat="1" applyFont="1" applyFill="1" applyBorder="1"/>
    <xf numFmtId="1" fontId="0" fillId="2" borderId="0" xfId="1" applyNumberFormat="1" applyFont="1" applyFill="1" applyBorder="1"/>
    <xf numFmtId="10" fontId="0" fillId="6" borderId="0" xfId="1" applyNumberFormat="1" applyFont="1" applyFill="1" applyBorder="1" applyAlignment="1">
      <alignment horizontal="center" vertical="center"/>
    </xf>
    <xf numFmtId="10" fontId="0" fillId="2" borderId="5" xfId="0" applyNumberFormat="1" applyFill="1" applyBorder="1"/>
    <xf numFmtId="16" fontId="0" fillId="4" borderId="5" xfId="0" applyNumberForma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0" xfId="0" applyNumberFormat="1" applyFill="1" applyBorder="1" applyAlignment="1">
      <alignment horizontal="right" vertical="center"/>
    </xf>
    <xf numFmtId="1" fontId="0" fillId="5" borderId="0" xfId="1" applyNumberFormat="1" applyFont="1" applyFill="1" applyBorder="1"/>
    <xf numFmtId="10" fontId="0" fillId="5" borderId="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/>
    </xf>
    <xf numFmtId="1" fontId="0" fillId="2" borderId="7" xfId="1" applyNumberFormat="1" applyFont="1" applyFill="1" applyBorder="1"/>
    <xf numFmtId="10" fontId="0" fillId="2" borderId="7" xfId="1" applyNumberFormat="1" applyFont="1" applyFill="1" applyBorder="1" applyAlignment="1">
      <alignment horizontal="center" vertical="center"/>
    </xf>
    <xf numFmtId="10" fontId="0" fillId="2" borderId="8" xfId="2" applyNumberFormat="1" applyFont="1" applyFill="1" applyBorder="1"/>
    <xf numFmtId="10" fontId="2" fillId="2" borderId="7" xfId="1" applyNumberFormat="1" applyFont="1" applyFill="1" applyBorder="1" applyAlignment="1">
      <alignment horizontal="center" vertical="center"/>
    </xf>
    <xf numFmtId="10" fontId="0" fillId="5" borderId="5" xfId="0" applyNumberFormat="1" applyFont="1" applyFill="1" applyBorder="1"/>
    <xf numFmtId="0" fontId="2" fillId="3" borderId="0" xfId="0" applyFont="1" applyFill="1" applyBorder="1" applyAlignment="1">
      <alignment horizontal="right" vertical="center"/>
    </xf>
    <xf numFmtId="0" fontId="0" fillId="3" borderId="0" xfId="0" applyFill="1" applyBorder="1"/>
    <xf numFmtId="10" fontId="2" fillId="3" borderId="0" xfId="0" applyNumberFormat="1" applyFont="1" applyFill="1" applyBorder="1" applyAlignment="1">
      <alignment horizontal="center" vertical="center"/>
    </xf>
    <xf numFmtId="1" fontId="0" fillId="5" borderId="0" xfId="1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right" vertical="center"/>
    </xf>
    <xf numFmtId="10" fontId="0" fillId="2" borderId="5" xfId="0" applyNumberFormat="1" applyFont="1" applyFill="1" applyBorder="1"/>
    <xf numFmtId="0" fontId="2" fillId="2" borderId="4" xfId="0" applyFont="1" applyFill="1" applyBorder="1" applyAlignment="1">
      <alignment horizontal="right" vertical="center"/>
    </xf>
    <xf numFmtId="1" fontId="0" fillId="2" borderId="0" xfId="1" applyNumberFormat="1" applyFont="1" applyFill="1" applyBorder="1" applyAlignment="1">
      <alignment horizontal="right" vertical="center"/>
    </xf>
    <xf numFmtId="1" fontId="0" fillId="2" borderId="0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right" vertical="center"/>
    </xf>
    <xf numFmtId="1" fontId="0" fillId="6" borderId="0" xfId="1" applyNumberFormat="1" applyFont="1" applyFill="1" applyBorder="1" applyAlignment="1">
      <alignment horizontal="right" vertical="center"/>
    </xf>
    <xf numFmtId="10" fontId="0" fillId="6" borderId="5" xfId="0" applyNumberFormat="1" applyFont="1" applyFill="1" applyBorder="1"/>
    <xf numFmtId="2" fontId="2" fillId="6" borderId="0" xfId="0" applyNumberFormat="1" applyFont="1" applyFill="1" applyBorder="1" applyAlignment="1">
      <alignment horizontal="center"/>
    </xf>
    <xf numFmtId="2" fontId="2" fillId="6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10" fontId="0" fillId="2" borderId="0" xfId="0" applyNumberFormat="1" applyFill="1" applyBorder="1" applyAlignment="1">
      <alignment horizontal="left"/>
    </xf>
    <xf numFmtId="0" fontId="3" fillId="7" borderId="1" xfId="0" applyFont="1" applyFill="1" applyBorder="1" applyAlignment="1">
      <alignment horizontal="right"/>
    </xf>
    <xf numFmtId="0" fontId="4" fillId="7" borderId="2" xfId="0" applyFont="1" applyFill="1" applyBorder="1"/>
    <xf numFmtId="0" fontId="3" fillId="7" borderId="3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right"/>
    </xf>
    <xf numFmtId="16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5" xfId="0" applyFont="1" applyFill="1" applyBorder="1"/>
    <xf numFmtId="0" fontId="4" fillId="7" borderId="4" xfId="0" applyFont="1" applyFill="1" applyBorder="1" applyAlignment="1">
      <alignment horizontal="right"/>
    </xf>
    <xf numFmtId="0" fontId="4" fillId="7" borderId="5" xfId="0" applyFont="1" applyFill="1" applyBorder="1"/>
    <xf numFmtId="2" fontId="3" fillId="9" borderId="5" xfId="0" applyNumberFormat="1" applyFont="1" applyFill="1" applyBorder="1" applyAlignment="1">
      <alignment horizontal="center"/>
    </xf>
    <xf numFmtId="2" fontId="4" fillId="7" borderId="5" xfId="0" applyNumberFormat="1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2" fontId="4" fillId="7" borderId="15" xfId="0" applyNumberFormat="1" applyFont="1" applyFill="1" applyBorder="1" applyAlignment="1">
      <alignment horizontal="center"/>
    </xf>
    <xf numFmtId="0" fontId="4" fillId="8" borderId="0" xfId="0" applyFont="1" applyFill="1" applyBorder="1" applyAlignment="1">
      <alignment horizontal="right" vertical="center"/>
    </xf>
    <xf numFmtId="0" fontId="4" fillId="8" borderId="0" xfId="0" applyFont="1" applyFill="1" applyBorder="1"/>
    <xf numFmtId="43" fontId="4" fillId="8" borderId="0" xfId="0" applyNumberFormat="1" applyFont="1" applyFill="1" applyBorder="1"/>
    <xf numFmtId="0" fontId="4" fillId="7" borderId="0" xfId="0" applyFont="1" applyFill="1" applyBorder="1"/>
    <xf numFmtId="0" fontId="3" fillId="7" borderId="0" xfId="0" applyFont="1" applyFill="1" applyBorder="1" applyAlignment="1">
      <alignment horizontal="center" vertical="center"/>
    </xf>
    <xf numFmtId="2" fontId="3" fillId="9" borderId="0" xfId="0" applyNumberFormat="1" applyFont="1" applyFill="1" applyBorder="1" applyAlignment="1">
      <alignment horizontal="center"/>
    </xf>
    <xf numFmtId="2" fontId="4" fillId="7" borderId="0" xfId="0" applyNumberFormat="1" applyFont="1" applyFill="1" applyBorder="1" applyAlignment="1">
      <alignment horizontal="center"/>
    </xf>
    <xf numFmtId="2" fontId="4" fillId="10" borderId="0" xfId="0" applyNumberFormat="1" applyFont="1" applyFill="1" applyBorder="1" applyAlignment="1">
      <alignment horizontal="center"/>
    </xf>
    <xf numFmtId="2" fontId="4" fillId="10" borderId="5" xfId="0" applyNumberFormat="1" applyFont="1" applyFill="1" applyBorder="1" applyAlignment="1">
      <alignment horizontal="center"/>
    </xf>
    <xf numFmtId="10" fontId="3" fillId="9" borderId="0" xfId="0" applyNumberFormat="1" applyFont="1" applyFill="1" applyBorder="1" applyAlignment="1">
      <alignment horizontal="right"/>
    </xf>
    <xf numFmtId="10" fontId="4" fillId="7" borderId="0" xfId="0" applyNumberFormat="1" applyFont="1" applyFill="1" applyBorder="1" applyAlignment="1">
      <alignment horizontal="right"/>
    </xf>
    <xf numFmtId="10" fontId="4" fillId="10" borderId="0" xfId="0" applyNumberFormat="1" applyFont="1" applyFill="1" applyBorder="1" applyAlignment="1">
      <alignment horizontal="right"/>
    </xf>
    <xf numFmtId="10" fontId="4" fillId="7" borderId="14" xfId="0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0" fontId="4" fillId="7" borderId="13" xfId="0" applyFont="1" applyFill="1" applyBorder="1" applyAlignment="1">
      <alignment horizontal="right"/>
    </xf>
    <xf numFmtId="10" fontId="2" fillId="6" borderId="0" xfId="0" applyNumberFormat="1" applyFont="1" applyFill="1" applyBorder="1" applyAlignment="1">
      <alignment horizontal="right"/>
    </xf>
    <xf numFmtId="0" fontId="3" fillId="9" borderId="4" xfId="0" applyFont="1" applyFill="1" applyBorder="1" applyAlignment="1">
      <alignment horizontal="right"/>
    </xf>
    <xf numFmtId="0" fontId="2" fillId="11" borderId="12" xfId="0" applyFont="1" applyFill="1" applyBorder="1" applyAlignment="1">
      <alignment horizontal="right" vertical="center"/>
    </xf>
    <xf numFmtId="0" fontId="0" fillId="11" borderId="7" xfId="0" applyFill="1" applyBorder="1"/>
    <xf numFmtId="10" fontId="2" fillId="11" borderId="7" xfId="0" applyNumberFormat="1" applyFont="1" applyFill="1" applyBorder="1" applyAlignment="1">
      <alignment horizontal="center" vertical="center"/>
    </xf>
    <xf numFmtId="0" fontId="0" fillId="11" borderId="8" xfId="0" applyFill="1" applyBorder="1"/>
    <xf numFmtId="0" fontId="2" fillId="11" borderId="9" xfId="0" applyFont="1" applyFill="1" applyBorder="1" applyAlignment="1">
      <alignment horizontal="right" vertical="center"/>
    </xf>
    <xf numFmtId="0" fontId="0" fillId="11" borderId="10" xfId="0" applyFill="1" applyBorder="1"/>
    <xf numFmtId="10" fontId="2" fillId="11" borderId="10" xfId="0" applyNumberFormat="1" applyFont="1" applyFill="1" applyBorder="1" applyAlignment="1">
      <alignment horizontal="center" vertical="center"/>
    </xf>
    <xf numFmtId="0" fontId="0" fillId="11" borderId="11" xfId="0" applyFill="1" applyBorder="1"/>
    <xf numFmtId="0" fontId="2" fillId="2" borderId="5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4" fillId="12" borderId="4" xfId="0" applyFont="1" applyFill="1" applyBorder="1" applyAlignment="1">
      <alignment horizontal="right"/>
    </xf>
    <xf numFmtId="10" fontId="4" fillId="12" borderId="0" xfId="0" applyNumberFormat="1" applyFont="1" applyFill="1" applyBorder="1" applyAlignment="1">
      <alignment horizontal="right"/>
    </xf>
    <xf numFmtId="2" fontId="4" fillId="12" borderId="0" xfId="0" applyNumberFormat="1" applyFont="1" applyFill="1" applyBorder="1" applyAlignment="1">
      <alignment horizontal="center"/>
    </xf>
    <xf numFmtId="2" fontId="4" fillId="12" borderId="5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2" fontId="0" fillId="4" borderId="0" xfId="1" applyNumberFormat="1" applyFont="1" applyFill="1" applyBorder="1" applyAlignment="1">
      <alignment horizontal="right" vertical="center"/>
    </xf>
    <xf numFmtId="2" fontId="0" fillId="4" borderId="0" xfId="1" applyNumberFormat="1" applyFont="1" applyFill="1" applyBorder="1" applyAlignment="1">
      <alignment vertical="center"/>
    </xf>
    <xf numFmtId="2" fontId="4" fillId="8" borderId="0" xfId="0" applyNumberFormat="1" applyFont="1" applyFill="1" applyBorder="1" applyAlignment="1">
      <alignment horizontal="right" vertical="center"/>
    </xf>
    <xf numFmtId="0" fontId="4" fillId="0" borderId="0" xfId="0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R60"/>
  <sheetViews>
    <sheetView showGridLines="0" tabSelected="1" topLeftCell="L1" zoomScale="150" zoomScaleNormal="150" workbookViewId="0">
      <selection activeCell="I36" sqref="I36"/>
    </sheetView>
  </sheetViews>
  <sheetFormatPr baseColWidth="10" defaultColWidth="8.83203125" defaultRowHeight="15" x14ac:dyDescent="0.2"/>
  <cols>
    <col min="1" max="1" width="3.33203125" customWidth="1"/>
    <col min="2" max="2" width="23.33203125" customWidth="1"/>
    <col min="3" max="3" width="13.33203125" customWidth="1"/>
    <col min="4" max="4" width="17.33203125" customWidth="1"/>
    <col min="5" max="5" width="10.33203125" customWidth="1"/>
    <col min="6" max="6" width="10" customWidth="1"/>
    <col min="7" max="7" width="3.33203125" customWidth="1"/>
    <col min="8" max="8" width="23.33203125" customWidth="1"/>
    <col min="9" max="9" width="13.33203125" customWidth="1"/>
    <col min="10" max="10" width="17.33203125" customWidth="1"/>
    <col min="11" max="11" width="10.33203125" customWidth="1"/>
    <col min="12" max="12" width="10" customWidth="1"/>
    <col min="13" max="13" width="3.33203125" customWidth="1"/>
    <col min="14" max="14" width="23.33203125" customWidth="1"/>
    <col min="15" max="15" width="13.33203125" customWidth="1"/>
    <col min="16" max="16" width="17.33203125" customWidth="1"/>
    <col min="17" max="17" width="10.33203125" customWidth="1"/>
    <col min="18" max="18" width="10" customWidth="1"/>
    <col min="19" max="19" width="3.1640625" customWidth="1"/>
    <col min="20" max="20" width="23.33203125" customWidth="1"/>
    <col min="21" max="21" width="13.33203125" customWidth="1"/>
    <col min="22" max="22" width="17.1640625" customWidth="1"/>
    <col min="23" max="23" width="10.1640625" customWidth="1"/>
    <col min="24" max="24" width="9.83203125" customWidth="1"/>
    <col min="25" max="25" width="3.33203125" customWidth="1"/>
  </cols>
  <sheetData>
    <row r="1" spans="2:24" ht="20" customHeight="1" thickBot="1" x14ac:dyDescent="0.25"/>
    <row r="2" spans="2:24" x14ac:dyDescent="0.2">
      <c r="B2" s="13" t="s">
        <v>2</v>
      </c>
      <c r="C2" s="2"/>
      <c r="D2" s="2"/>
      <c r="E2" s="2"/>
      <c r="F2" s="3" t="s">
        <v>38</v>
      </c>
      <c r="H2" s="13" t="s">
        <v>3</v>
      </c>
      <c r="I2" s="2"/>
      <c r="J2" s="2"/>
      <c r="K2" s="2"/>
      <c r="L2" s="3" t="s">
        <v>38</v>
      </c>
      <c r="N2" s="13" t="s">
        <v>1</v>
      </c>
      <c r="O2" s="2"/>
      <c r="P2" s="2"/>
      <c r="Q2" s="2"/>
      <c r="R2" s="3" t="s">
        <v>38</v>
      </c>
      <c r="T2" s="13" t="s">
        <v>5</v>
      </c>
      <c r="U2" s="2"/>
      <c r="V2" s="2"/>
      <c r="W2" s="2"/>
      <c r="X2" s="3" t="s">
        <v>38</v>
      </c>
    </row>
    <row r="3" spans="2:24" x14ac:dyDescent="0.2">
      <c r="B3" s="4" t="s">
        <v>36</v>
      </c>
      <c r="C3" s="26">
        <v>13487</v>
      </c>
      <c r="D3" s="7"/>
      <c r="E3" s="7"/>
      <c r="F3" s="23">
        <f ca="1">TODAY()</f>
        <v>44523</v>
      </c>
      <c r="H3" s="4" t="s">
        <v>36</v>
      </c>
      <c r="I3" s="26">
        <v>8412</v>
      </c>
      <c r="J3" s="7"/>
      <c r="K3" s="7"/>
      <c r="L3" s="23">
        <f ca="1">TODAY()</f>
        <v>44523</v>
      </c>
      <c r="N3" s="4" t="s">
        <v>36</v>
      </c>
      <c r="O3" s="26">
        <v>35000</v>
      </c>
      <c r="P3" s="7"/>
      <c r="Q3" s="7"/>
      <c r="R3" s="23">
        <f ca="1">TODAY()</f>
        <v>44523</v>
      </c>
      <c r="T3" s="4" t="s">
        <v>36</v>
      </c>
      <c r="U3" s="26">
        <v>7920</v>
      </c>
      <c r="V3" s="7"/>
      <c r="W3" s="7"/>
      <c r="X3" s="23">
        <f ca="1">TODAY()</f>
        <v>44523</v>
      </c>
    </row>
    <row r="4" spans="2:24" x14ac:dyDescent="0.2">
      <c r="B4" s="4" t="s">
        <v>37</v>
      </c>
      <c r="C4" s="25">
        <v>7.0000000000000007E-2</v>
      </c>
      <c r="D4" s="7"/>
      <c r="E4" s="7"/>
      <c r="F4" s="23">
        <v>44545</v>
      </c>
      <c r="H4" s="4" t="s">
        <v>37</v>
      </c>
      <c r="I4" s="25">
        <v>0.06</v>
      </c>
      <c r="J4" s="7"/>
      <c r="K4" s="7"/>
      <c r="L4" s="23">
        <v>44636</v>
      </c>
      <c r="N4" s="4" t="s">
        <v>37</v>
      </c>
      <c r="O4" s="25">
        <v>0.17</v>
      </c>
      <c r="P4" s="7"/>
      <c r="Q4" s="7"/>
      <c r="R4" s="23">
        <v>44545</v>
      </c>
      <c r="T4" s="4" t="s">
        <v>37</v>
      </c>
      <c r="U4" s="25">
        <v>0.4</v>
      </c>
      <c r="V4" s="7"/>
      <c r="W4" s="7"/>
      <c r="X4" s="23">
        <v>44608</v>
      </c>
    </row>
    <row r="5" spans="2:24" x14ac:dyDescent="0.2">
      <c r="B5" s="4" t="s">
        <v>7</v>
      </c>
      <c r="C5" s="104">
        <f ca="1">SQRT(F5)</f>
        <v>4.6904157598234297</v>
      </c>
      <c r="D5" s="5"/>
      <c r="E5" s="5"/>
      <c r="F5" s="24">
        <f ca="1">F4-F3</f>
        <v>22</v>
      </c>
      <c r="H5" s="4" t="s">
        <v>7</v>
      </c>
      <c r="I5" s="104">
        <f ca="1">SQRT(L5)</f>
        <v>10.63014581273465</v>
      </c>
      <c r="J5" s="5"/>
      <c r="K5" s="5"/>
      <c r="L5" s="24">
        <f ca="1">L4-L3</f>
        <v>113</v>
      </c>
      <c r="N5" s="4" t="s">
        <v>7</v>
      </c>
      <c r="O5" s="104">
        <f>SQRT(R5)</f>
        <v>2.6457513110645907</v>
      </c>
      <c r="P5" s="5"/>
      <c r="Q5" s="5"/>
      <c r="R5" s="24">
        <v>7</v>
      </c>
      <c r="T5" s="4" t="s">
        <v>7</v>
      </c>
      <c r="U5" s="104">
        <f ca="1">SQRT(X5)</f>
        <v>9.2195444572928871</v>
      </c>
      <c r="V5" s="5"/>
      <c r="W5" s="5"/>
      <c r="X5" s="24">
        <f ca="1">X4-X3</f>
        <v>85</v>
      </c>
    </row>
    <row r="6" spans="2:24" x14ac:dyDescent="0.2">
      <c r="B6" s="4" t="s">
        <v>17</v>
      </c>
      <c r="C6" s="104">
        <f>SQRT(252)</f>
        <v>15.874507866387544</v>
      </c>
      <c r="D6" s="5"/>
      <c r="E6" s="5"/>
      <c r="F6" s="6"/>
      <c r="H6" s="4" t="s">
        <v>17</v>
      </c>
      <c r="I6" s="104">
        <f>SQRT(252)</f>
        <v>15.874507866387544</v>
      </c>
      <c r="J6" s="5"/>
      <c r="K6" s="5"/>
      <c r="L6" s="6"/>
      <c r="N6" s="4" t="s">
        <v>17</v>
      </c>
      <c r="O6" s="104">
        <f>SQRT(252)</f>
        <v>15.874507866387544</v>
      </c>
      <c r="P6" s="5"/>
      <c r="Q6" s="5"/>
      <c r="R6" s="6"/>
      <c r="T6" s="4" t="s">
        <v>17</v>
      </c>
      <c r="U6" s="104">
        <f>SQRT(252)</f>
        <v>15.874507866387544</v>
      </c>
      <c r="V6" s="5"/>
      <c r="W6" s="5"/>
      <c r="X6" s="6"/>
    </row>
    <row r="7" spans="2:24" x14ac:dyDescent="0.2">
      <c r="B7" s="14"/>
      <c r="C7" s="8"/>
      <c r="D7" s="8"/>
      <c r="E7" s="30"/>
      <c r="F7" s="93" t="s">
        <v>41</v>
      </c>
      <c r="H7" s="14"/>
      <c r="I7" s="8"/>
      <c r="J7" s="8"/>
      <c r="K7" s="30"/>
      <c r="L7" s="93" t="s">
        <v>41</v>
      </c>
      <c r="N7" s="14"/>
      <c r="O7" s="8"/>
      <c r="P7" s="8"/>
      <c r="Q7" s="30"/>
      <c r="R7" s="93" t="s">
        <v>41</v>
      </c>
      <c r="T7" s="14"/>
      <c r="U7" s="8"/>
      <c r="V7" s="8"/>
      <c r="W7" s="30"/>
      <c r="X7" s="93" t="s">
        <v>41</v>
      </c>
    </row>
    <row r="8" spans="2:24" x14ac:dyDescent="0.2">
      <c r="B8" s="4" t="s">
        <v>0</v>
      </c>
      <c r="C8" s="19">
        <f ca="1">(C3*C4*C5)/C6</f>
        <v>278.94878077246449</v>
      </c>
      <c r="D8" s="31" t="s">
        <v>8</v>
      </c>
      <c r="E8" s="31" t="s">
        <v>6</v>
      </c>
      <c r="F8" s="93" t="s">
        <v>42</v>
      </c>
      <c r="H8" s="4" t="s">
        <v>0</v>
      </c>
      <c r="I8" s="19">
        <f ca="1">(I3*I4*I5)/I6</f>
        <v>337.97880474542012</v>
      </c>
      <c r="J8" s="31" t="s">
        <v>8</v>
      </c>
      <c r="K8" s="31" t="s">
        <v>6</v>
      </c>
      <c r="L8" s="94" t="s">
        <v>42</v>
      </c>
      <c r="N8" s="4" t="s">
        <v>0</v>
      </c>
      <c r="O8" s="19">
        <f>(O3*O4*O5)/O6</f>
        <v>991.66666666666663</v>
      </c>
      <c r="P8" s="31" t="s">
        <v>8</v>
      </c>
      <c r="Q8" s="31" t="s">
        <v>6</v>
      </c>
      <c r="R8" s="93" t="s">
        <v>42</v>
      </c>
      <c r="T8" s="4" t="s">
        <v>0</v>
      </c>
      <c r="U8" s="19">
        <f ca="1">(U3*U4*U5)/U6</f>
        <v>1839.9006184341276</v>
      </c>
      <c r="V8" s="31" t="s">
        <v>8</v>
      </c>
      <c r="W8" s="31" t="s">
        <v>6</v>
      </c>
      <c r="X8" s="93" t="s">
        <v>42</v>
      </c>
    </row>
    <row r="9" spans="2:24" x14ac:dyDescent="0.2">
      <c r="B9" s="10" t="s">
        <v>10</v>
      </c>
      <c r="C9" s="18">
        <f ca="1">C3+C8</f>
        <v>13765.948780772465</v>
      </c>
      <c r="D9" s="21">
        <f ca="1">1-NORMSDIST(LN(C9/C3)/(C4*SQRT(F5/252)))</f>
        <v>0.16113618149161857</v>
      </c>
      <c r="E9" s="21">
        <f ca="1">NORMSDIST(LN(C9/C3)/(C4*SQRT(F5/252)))</f>
        <v>0.83886381850838143</v>
      </c>
      <c r="F9" s="11">
        <f ca="1">C9/C3-1</f>
        <v>2.0682789409984803E-2</v>
      </c>
      <c r="H9" s="10" t="s">
        <v>10</v>
      </c>
      <c r="I9" s="18">
        <f ca="1">I3+I8</f>
        <v>8749.9788047454203</v>
      </c>
      <c r="J9" s="21">
        <f ca="1">1-NORMSDIST(LN(I9/I3)/(I4*SQRT(L5/252)))</f>
        <v>0.16343614010095076</v>
      </c>
      <c r="K9" s="21">
        <f ca="1">NORMSDIST(LN(I9/I3)/(I4*SQRT(L5/252)))</f>
        <v>0.83656385989904924</v>
      </c>
      <c r="L9" s="11">
        <f ca="1">I9/I3-1</f>
        <v>4.0178174601214867E-2</v>
      </c>
      <c r="N9" s="10" t="s">
        <v>10</v>
      </c>
      <c r="O9" s="18">
        <f>O3+O8</f>
        <v>35991.666666666664</v>
      </c>
      <c r="P9" s="21">
        <f>1-NORMSDIST(LN(O9/O3)/(O4*SQRT(R5/252)))</f>
        <v>0.16204315883121589</v>
      </c>
      <c r="Q9" s="21">
        <f>NORMSDIST(LN(O9/O3)/(O4*SQRT(R5/252)))</f>
        <v>0.83795684116878411</v>
      </c>
      <c r="R9" s="11">
        <f>O9/O3-1</f>
        <v>2.8333333333333321E-2</v>
      </c>
      <c r="T9" s="10" t="s">
        <v>10</v>
      </c>
      <c r="U9" s="18">
        <f ca="1">U3+U8</f>
        <v>9759.900618434127</v>
      </c>
      <c r="V9" s="21">
        <f ca="1">1-NORMSDIST(LN(U9/U3)/(U4*SQRT(X5/252)))</f>
        <v>0.184276228200138</v>
      </c>
      <c r="W9" s="21">
        <f ca="1">NORMSDIST(LN(U9/U3)/(U4*SQRT(X5/252)))</f>
        <v>0.815723771799862</v>
      </c>
      <c r="X9" s="11">
        <f ca="1">U9/U3-1</f>
        <v>0.2323106841457232</v>
      </c>
    </row>
    <row r="10" spans="2:24" x14ac:dyDescent="0.2">
      <c r="B10" s="4"/>
      <c r="C10" s="20"/>
      <c r="D10" s="32" t="s">
        <v>9</v>
      </c>
      <c r="E10" s="31" t="s">
        <v>6</v>
      </c>
      <c r="F10" s="17"/>
      <c r="H10" s="4"/>
      <c r="I10" s="20"/>
      <c r="J10" s="32" t="s">
        <v>9</v>
      </c>
      <c r="K10" s="31" t="s">
        <v>6</v>
      </c>
      <c r="L10" s="17"/>
      <c r="N10" s="4"/>
      <c r="O10" s="20"/>
      <c r="P10" s="32" t="s">
        <v>9</v>
      </c>
      <c r="Q10" s="31" t="s">
        <v>6</v>
      </c>
      <c r="R10" s="17"/>
      <c r="T10" s="4"/>
      <c r="U10" s="20"/>
      <c r="V10" s="32" t="s">
        <v>9</v>
      </c>
      <c r="W10" s="31" t="s">
        <v>6</v>
      </c>
      <c r="X10" s="17"/>
    </row>
    <row r="11" spans="2:24" x14ac:dyDescent="0.2">
      <c r="B11" s="15" t="s">
        <v>14</v>
      </c>
      <c r="C11" s="27">
        <f ca="1">C3-C8</f>
        <v>13208.051219227535</v>
      </c>
      <c r="D11" s="28">
        <f ca="1">NORMSDIST(LN(C11/C3)/(C4*SQRT(F5/252)))</f>
        <v>0.15613119514751531</v>
      </c>
      <c r="E11" s="28">
        <f ca="1">1-NORMSDIST(LN(C11/C3)/(C4*SQRT(F5/252)))</f>
        <v>0.84386880485248472</v>
      </c>
      <c r="F11" s="16">
        <f ca="1">C11/C3-1</f>
        <v>-2.0682789409984803E-2</v>
      </c>
      <c r="H11" s="15" t="s">
        <v>14</v>
      </c>
      <c r="I11" s="27">
        <f ca="1">I3-I8</f>
        <v>8074.0211952545797</v>
      </c>
      <c r="J11" s="28">
        <f ca="1">NORMSDIST(LN(I11/I3)/(I4*SQRT(L5/252)))</f>
        <v>0.15371158258632339</v>
      </c>
      <c r="K11" s="28">
        <f ca="1">1-NORMSDIST(LN(I11/I3)/(I4*SQRT(L5/252)))</f>
        <v>0.84628841741367666</v>
      </c>
      <c r="L11" s="16">
        <f ca="1">I11/I3-1</f>
        <v>-4.0178174601214978E-2</v>
      </c>
      <c r="N11" s="15" t="s">
        <v>14</v>
      </c>
      <c r="O11" s="27">
        <f>O3-O8</f>
        <v>34008.333333333336</v>
      </c>
      <c r="P11" s="28">
        <f>NORMSDIST(LN(O11/O3)/(O4*SQRT(R5/252)))</f>
        <v>0.15518640438017881</v>
      </c>
      <c r="Q11" s="28">
        <f>1-NORMSDIST(LN(O11/O3)/(O4*SQRT(R5/252)))</f>
        <v>0.84481359561982117</v>
      </c>
      <c r="R11" s="16">
        <f>O11/O3-1</f>
        <v>-2.833333333333321E-2</v>
      </c>
      <c r="T11" s="15" t="s">
        <v>14</v>
      </c>
      <c r="U11" s="27">
        <f ca="1">U3-U8</f>
        <v>6080.0993815658721</v>
      </c>
      <c r="V11" s="28">
        <f ca="1">NORMSDIST(LN(U11/U3)/(U4*SQRT(X5/252)))</f>
        <v>0.1275596967476729</v>
      </c>
      <c r="W11" s="28">
        <f ca="1">1-NORMSDIST(LN(U11/U3)/(U4*SQRT(X5/365)))</f>
        <v>0.91459196855449809</v>
      </c>
      <c r="X11" s="16">
        <f ca="1">U11/U3-1</f>
        <v>-0.2323106841457232</v>
      </c>
    </row>
    <row r="12" spans="2:24" x14ac:dyDescent="0.2">
      <c r="B12" s="4"/>
      <c r="C12" s="20"/>
      <c r="D12" s="29"/>
      <c r="E12" s="29"/>
      <c r="F12" s="17">
        <f ca="1">1-(D9+D11)</f>
        <v>0.68273262336086615</v>
      </c>
      <c r="H12" s="4"/>
      <c r="I12" s="20"/>
      <c r="J12" s="29"/>
      <c r="K12" s="29"/>
      <c r="L12" s="17">
        <f ca="1">1-(J9+J11)</f>
        <v>0.68285227731272591</v>
      </c>
      <c r="N12" s="4"/>
      <c r="O12" s="20"/>
      <c r="P12" s="29"/>
      <c r="Q12" s="29"/>
      <c r="R12" s="17">
        <f>1-(P9+P11)</f>
        <v>0.68277043678860527</v>
      </c>
      <c r="T12" s="33"/>
      <c r="U12" s="34"/>
      <c r="V12" s="35"/>
      <c r="W12" s="37"/>
      <c r="X12" s="36">
        <f ca="1">1-(V9+V11)</f>
        <v>0.68816407505218913</v>
      </c>
    </row>
    <row r="13" spans="2:24" x14ac:dyDescent="0.2">
      <c r="B13" s="4" t="s">
        <v>4</v>
      </c>
      <c r="C13" s="19">
        <f ca="1">2*((C3*C4*C5)/C6)</f>
        <v>557.89756154492898</v>
      </c>
      <c r="D13" s="31" t="s">
        <v>8</v>
      </c>
      <c r="E13" s="31" t="s">
        <v>6</v>
      </c>
      <c r="F13" s="9"/>
      <c r="H13" s="4" t="s">
        <v>4</v>
      </c>
      <c r="I13" s="19">
        <f ca="1">2*((I3*I4*I5)/I6)</f>
        <v>675.95760949084024</v>
      </c>
      <c r="J13" s="31" t="s">
        <v>8</v>
      </c>
      <c r="K13" s="31" t="s">
        <v>6</v>
      </c>
      <c r="L13" s="9"/>
      <c r="N13" s="4" t="s">
        <v>4</v>
      </c>
      <c r="O13" s="19">
        <f>2*((O3*O4*O5)/O6)</f>
        <v>1983.3333333333333</v>
      </c>
      <c r="P13" s="31" t="s">
        <v>8</v>
      </c>
      <c r="Q13" s="31" t="s">
        <v>6</v>
      </c>
      <c r="R13" s="9"/>
      <c r="T13" s="4" t="s">
        <v>4</v>
      </c>
      <c r="U13" s="19">
        <f ca="1">2*((U3*U4*U5)/U6)</f>
        <v>3679.8012368682553</v>
      </c>
      <c r="V13" s="31" t="s">
        <v>8</v>
      </c>
      <c r="W13" s="31" t="s">
        <v>6</v>
      </c>
      <c r="X13" s="9"/>
    </row>
    <row r="14" spans="2:24" x14ac:dyDescent="0.2">
      <c r="B14" s="10" t="s">
        <v>15</v>
      </c>
      <c r="C14" s="18">
        <f ca="1">C3+C13</f>
        <v>14044.897561544929</v>
      </c>
      <c r="D14" s="21">
        <f ca="1">1-NORMSDIST(LN(C14/C3)/(C4*SQRT(F5/252)))</f>
        <v>2.501304083520195E-2</v>
      </c>
      <c r="E14" s="21">
        <f ca="1">NORMSDIST(LN(C14/C3)/(C4*SQRT(F5/252)))</f>
        <v>0.97498695916479805</v>
      </c>
      <c r="F14" s="12">
        <f ca="1">C14/C3-1</f>
        <v>4.1365578819969606E-2</v>
      </c>
      <c r="H14" s="10" t="s">
        <v>15</v>
      </c>
      <c r="I14" s="18">
        <f ca="1">I3+I13</f>
        <v>9087.9576094908407</v>
      </c>
      <c r="J14" s="21">
        <f ca="1">1-NORMSDIST(LN(I14/I3)/(I4*SQRT(L5/252)))</f>
        <v>2.7195809971923057E-2</v>
      </c>
      <c r="K14" s="21">
        <f ca="1">NORMSDIST(LN(I14/I3)/(I4*SQRT(L5/252)))</f>
        <v>0.97280419002807694</v>
      </c>
      <c r="L14" s="12">
        <f ca="1">I14/I3-1</f>
        <v>8.0356349202429955E-2</v>
      </c>
      <c r="N14" s="10" t="s">
        <v>15</v>
      </c>
      <c r="O14" s="18">
        <f>O3+O13</f>
        <v>36983.333333333336</v>
      </c>
      <c r="P14" s="21">
        <f>1-NORMSDIST(LN(O14/O3)/(O4*SQRT(R5/252)))</f>
        <v>2.5864207208392109E-2</v>
      </c>
      <c r="Q14" s="21">
        <f>NORMSDIST(LN(O14/O3)/(O4*SQRT(R5/252)))</f>
        <v>0.97413579279160789</v>
      </c>
      <c r="R14" s="12">
        <f>O14/O3-1</f>
        <v>5.6666666666666643E-2</v>
      </c>
      <c r="T14" s="10" t="s">
        <v>15</v>
      </c>
      <c r="U14" s="18">
        <f ca="1">U3+U13</f>
        <v>11599.801236868256</v>
      </c>
      <c r="V14" s="21">
        <f ca="1">1-NORMSDIST(LN(U14/U3)/(U4*SQRT(X5/252)))</f>
        <v>5.0231422172195561E-2</v>
      </c>
      <c r="W14" s="21">
        <f ca="1">NORMSDIST(LN(U14/U3)/(U4*SQRT(X5/252)))</f>
        <v>0.94976857782780444</v>
      </c>
      <c r="X14" s="12">
        <f ca="1">U14/U3-1</f>
        <v>0.4646213682914464</v>
      </c>
    </row>
    <row r="15" spans="2:24" x14ac:dyDescent="0.2">
      <c r="B15" s="4"/>
      <c r="C15" s="20"/>
      <c r="D15" s="32" t="s">
        <v>9</v>
      </c>
      <c r="E15" s="31" t="s">
        <v>6</v>
      </c>
      <c r="F15" s="22"/>
      <c r="H15" s="4"/>
      <c r="I15" s="20"/>
      <c r="J15" s="32" t="s">
        <v>9</v>
      </c>
      <c r="K15" s="31" t="s">
        <v>6</v>
      </c>
      <c r="L15" s="22"/>
      <c r="N15" s="4"/>
      <c r="O15" s="20"/>
      <c r="P15" s="32" t="s">
        <v>9</v>
      </c>
      <c r="Q15" s="31" t="s">
        <v>6</v>
      </c>
      <c r="R15" s="22"/>
      <c r="T15" s="4"/>
      <c r="U15" s="20"/>
      <c r="V15" s="32" t="s">
        <v>9</v>
      </c>
      <c r="W15" s="31" t="s">
        <v>6</v>
      </c>
      <c r="X15" s="22"/>
    </row>
    <row r="16" spans="2:24" x14ac:dyDescent="0.2">
      <c r="B16" s="15" t="s">
        <v>16</v>
      </c>
      <c r="C16" s="27">
        <f ca="1">C3-C13</f>
        <v>12929.102438455071</v>
      </c>
      <c r="D16" s="28">
        <f ca="1">NORMSDIST(LN(C16/C3)/(C4*SQRT(F5/252)))</f>
        <v>2.0548853110643528E-2</v>
      </c>
      <c r="E16" s="28">
        <f ca="1">1-NORMSDIST(LN(C16/C3)/(C4*SQRT(F5/252)))</f>
        <v>0.97945114688935653</v>
      </c>
      <c r="F16" s="38">
        <f ca="1">C16/C3-1</f>
        <v>-4.1365578819969495E-2</v>
      </c>
      <c r="H16" s="15" t="s">
        <v>16</v>
      </c>
      <c r="I16" s="27">
        <f ca="1">I3-I13</f>
        <v>7736.0423905091593</v>
      </c>
      <c r="J16" s="28">
        <f ca="1">NORMSDIST(LN(I16/I3)/(I4*SQRT(L5/252)))</f>
        <v>1.8537445101656346E-2</v>
      </c>
      <c r="K16" s="28">
        <f ca="1">1-NORMSDIST(LN(I16/I3)/(I4*SQRT(L5/252)))</f>
        <v>0.98146255489834366</v>
      </c>
      <c r="L16" s="38">
        <f ca="1">I16/I3-1</f>
        <v>-8.0356349202429955E-2</v>
      </c>
      <c r="N16" s="15" t="s">
        <v>16</v>
      </c>
      <c r="O16" s="27">
        <f>O3-O13</f>
        <v>33016.666666666664</v>
      </c>
      <c r="P16" s="28">
        <f>NORMSDIST(LN(O16/O3)/(O4*SQRT(R5/252)))</f>
        <v>1.9751779330215349E-2</v>
      </c>
      <c r="Q16" s="28">
        <f>1-NORMSDIST(LN(O16/O3)/(O4*SQRT(R5/252)))</f>
        <v>0.98024822066978468</v>
      </c>
      <c r="R16" s="38">
        <f>O16/O3-1</f>
        <v>-5.6666666666666754E-2</v>
      </c>
      <c r="T16" s="15" t="s">
        <v>16</v>
      </c>
      <c r="U16" s="27">
        <f ca="1">U3-U13</f>
        <v>4240.1987631317443</v>
      </c>
      <c r="V16" s="28">
        <f ca="1">NORMSDIST(LN(U16/U3)/(U4*SQRT(X5/252)))</f>
        <v>3.5788123020746962E-3</v>
      </c>
      <c r="W16" s="28">
        <f ca="1">1-NORMSDIST(LN(U16/U3)/(U4*SQRT(X5/252)))</f>
        <v>0.99642118769792531</v>
      </c>
      <c r="X16" s="38">
        <f ca="1">U16/U3-1</f>
        <v>-0.4646213682914464</v>
      </c>
    </row>
    <row r="17" spans="2:24" x14ac:dyDescent="0.2">
      <c r="B17" s="4"/>
      <c r="C17" s="20"/>
      <c r="D17" s="29"/>
      <c r="E17" s="29"/>
      <c r="F17" s="44">
        <f ca="1">1-(D14+D16)</f>
        <v>0.95443810605415447</v>
      </c>
      <c r="H17" s="4"/>
      <c r="I17" s="20"/>
      <c r="J17" s="29"/>
      <c r="K17" s="29"/>
      <c r="L17" s="44">
        <f ca="1">1-(J14+J16)</f>
        <v>0.95426674492642061</v>
      </c>
      <c r="N17" s="4"/>
      <c r="O17" s="20"/>
      <c r="P17" s="29"/>
      <c r="Q17" s="29"/>
      <c r="R17" s="44">
        <f>1-(P14+P16)</f>
        <v>0.95438401346139257</v>
      </c>
      <c r="T17" s="4"/>
      <c r="U17" s="20"/>
      <c r="V17" s="29"/>
      <c r="W17" s="29"/>
      <c r="X17" s="44">
        <f ca="1">1-(V14+V16)</f>
        <v>0.94618976552572975</v>
      </c>
    </row>
    <row r="18" spans="2:24" x14ac:dyDescent="0.2">
      <c r="B18" s="4"/>
      <c r="C18" s="20"/>
      <c r="D18" s="31" t="s">
        <v>8</v>
      </c>
      <c r="E18" s="31" t="s">
        <v>6</v>
      </c>
      <c r="F18" s="44"/>
      <c r="H18" s="4"/>
      <c r="I18" s="20"/>
      <c r="J18" s="31" t="s">
        <v>8</v>
      </c>
      <c r="K18" s="31" t="s">
        <v>6</v>
      </c>
      <c r="L18" s="44"/>
      <c r="N18" s="4"/>
      <c r="O18" s="20"/>
      <c r="P18" s="31" t="s">
        <v>8</v>
      </c>
      <c r="Q18" s="31" t="s">
        <v>6</v>
      </c>
      <c r="R18" s="44"/>
      <c r="T18" s="4"/>
      <c r="U18" s="20"/>
      <c r="V18" s="31" t="s">
        <v>8</v>
      </c>
      <c r="W18" s="31" t="s">
        <v>6</v>
      </c>
      <c r="X18" s="44"/>
    </row>
    <row r="19" spans="2:24" x14ac:dyDescent="0.2">
      <c r="B19" s="48" t="s">
        <v>39</v>
      </c>
      <c r="C19" s="49">
        <v>13700</v>
      </c>
      <c r="D19" s="21">
        <f ca="1">1-NORMSDIST(LN(C19/C3)/(C4*SQRT(F5/252)))</f>
        <v>0.22434099784744865</v>
      </c>
      <c r="E19" s="21">
        <f ca="1">NORMSDIST(LN(C19/C3)/(C4*SQRT(F5/252)))</f>
        <v>0.77565900215255135</v>
      </c>
      <c r="F19" s="50"/>
      <c r="H19" s="48" t="s">
        <v>39</v>
      </c>
      <c r="I19" s="49">
        <v>8585</v>
      </c>
      <c r="J19" s="21">
        <f ca="1">1-NORMSDIST(LN(I19/I3)/(I4*SQRT(L5/252)))</f>
        <v>0.30619178760451593</v>
      </c>
      <c r="K19" s="21">
        <f ca="1">NORMSDIST(LN(I19/I3)/(I4*SQRT(L5/252)))</f>
        <v>0.69380821239548407</v>
      </c>
      <c r="L19" s="50"/>
      <c r="N19" s="48" t="s">
        <v>39</v>
      </c>
      <c r="O19" s="49">
        <v>38000</v>
      </c>
      <c r="P19" s="21">
        <f>1-NORMSDIST(LN(O19/O3)/(O4*SQRT(R5/252)))</f>
        <v>1.8508610283335392E-3</v>
      </c>
      <c r="Q19" s="21">
        <f>NORMSDIST(LN(O19/O3)/(O4*SQRT(R5/252)))</f>
        <v>0.99814913897166646</v>
      </c>
      <c r="R19" s="50"/>
      <c r="T19" s="48" t="s">
        <v>39</v>
      </c>
      <c r="U19" s="49">
        <v>8000</v>
      </c>
      <c r="V19" s="21">
        <f ca="1">1-NORMSDIST(LN(U19/U3)/(U4*SQRT(X5/252)))</f>
        <v>0.48274615072479277</v>
      </c>
      <c r="W19" s="21">
        <f ca="1">NORMSDIST(LN(U19/U3)/(U4*SQRT(X5/252)))</f>
        <v>0.51725384927520723</v>
      </c>
      <c r="X19" s="50"/>
    </row>
    <row r="20" spans="2:24" x14ac:dyDescent="0.2">
      <c r="B20" s="45"/>
      <c r="C20" s="46"/>
      <c r="D20" s="32" t="s">
        <v>9</v>
      </c>
      <c r="E20" s="31" t="s">
        <v>6</v>
      </c>
      <c r="F20" s="44"/>
      <c r="H20" s="45"/>
      <c r="I20" s="46"/>
      <c r="J20" s="32" t="s">
        <v>9</v>
      </c>
      <c r="K20" s="31" t="s">
        <v>6</v>
      </c>
      <c r="L20" s="44"/>
      <c r="N20" s="45"/>
      <c r="O20" s="46"/>
      <c r="P20" s="32" t="s">
        <v>9</v>
      </c>
      <c r="Q20" s="31" t="s">
        <v>6</v>
      </c>
      <c r="R20" s="44"/>
      <c r="T20" s="45"/>
      <c r="U20" s="46"/>
      <c r="V20" s="32" t="s">
        <v>9</v>
      </c>
      <c r="W20" s="31" t="s">
        <v>6</v>
      </c>
      <c r="X20" s="44"/>
    </row>
    <row r="21" spans="2:24" x14ac:dyDescent="0.2">
      <c r="B21" s="43" t="s">
        <v>40</v>
      </c>
      <c r="C21" s="42">
        <v>13400</v>
      </c>
      <c r="D21" s="28">
        <f ca="1">NORMSDIST(LN(C21/C3)/(C4*SQRT(F5/252)))</f>
        <v>0.37718003112923304</v>
      </c>
      <c r="E21" s="28">
        <f ca="1">1-NORMSDIST(LN(C21/C3)/(C4*SQRT(F5/252)))</f>
        <v>0.62281996887076696</v>
      </c>
      <c r="F21" s="38"/>
      <c r="H21" s="43" t="s">
        <v>40</v>
      </c>
      <c r="I21" s="42">
        <v>8206</v>
      </c>
      <c r="J21" s="28">
        <f ca="1">NORMSDIST(LN(I21/I3)/(I4*SQRT(L5/252)))</f>
        <v>0.26858674595169973</v>
      </c>
      <c r="K21" s="28">
        <f ca="1">1-NORMSDIST(LN(I21/I3)/(I4*SQRT(L5/252)))</f>
        <v>0.73141325404830027</v>
      </c>
      <c r="L21" s="38"/>
      <c r="N21" s="43" t="s">
        <v>40</v>
      </c>
      <c r="O21" s="42">
        <v>32000</v>
      </c>
      <c r="P21" s="28">
        <f>NORMSDIST(LN(O21/O3)/(O4*SQRT(R5/365)))</f>
        <v>7.0499622758157655E-5</v>
      </c>
      <c r="Q21" s="28">
        <f>1-NORMSDIST(LN(O21/O3)/(O4*SQRT(R5/365)))</f>
        <v>0.99992950037724182</v>
      </c>
      <c r="R21" s="38"/>
      <c r="T21" s="43" t="s">
        <v>40</v>
      </c>
      <c r="U21" s="42">
        <v>7600</v>
      </c>
      <c r="V21" s="28">
        <f ca="1">NORMSDIST(LN(U21/U3)/(U4*SQRT(X5/252)))</f>
        <v>0.42954462678395255</v>
      </c>
      <c r="W21" s="28">
        <f ca="1">1-NORMSDIST(LN(U21/U3)/(U4*SQRT(X5/252)))</f>
        <v>0.57045537321604745</v>
      </c>
      <c r="X21" s="38"/>
    </row>
    <row r="22" spans="2:24" x14ac:dyDescent="0.2">
      <c r="B22" s="45"/>
      <c r="C22" s="47"/>
      <c r="D22" s="29"/>
      <c r="E22" s="29"/>
      <c r="F22" s="44">
        <f ca="1">1-(D19+D21)</f>
        <v>0.39847897102331831</v>
      </c>
      <c r="H22" s="45"/>
      <c r="I22" s="47"/>
      <c r="J22" s="29"/>
      <c r="K22" s="29"/>
      <c r="L22" s="44">
        <f ca="1">1-(J19+J21)</f>
        <v>0.42522146644378433</v>
      </c>
      <c r="N22" s="45"/>
      <c r="O22" s="47"/>
      <c r="P22" s="29"/>
      <c r="Q22" s="29"/>
      <c r="R22" s="44">
        <f>1-(P19+P21)</f>
        <v>0.99807863934890828</v>
      </c>
      <c r="T22" s="45"/>
      <c r="U22" s="47"/>
      <c r="V22" s="29"/>
      <c r="W22" s="29"/>
      <c r="X22" s="44">
        <f ca="1">1-(V19+V21)</f>
        <v>8.7709222491254679E-2</v>
      </c>
    </row>
    <row r="23" spans="2:24" ht="16" thickBot="1" x14ac:dyDescent="0.25">
      <c r="B23" s="85" t="s">
        <v>11</v>
      </c>
      <c r="C23" s="86"/>
      <c r="D23" s="86"/>
      <c r="E23" s="87">
        <f ca="1">(0.5 * E9) + (0.5 * E11)</f>
        <v>0.84136631168043308</v>
      </c>
      <c r="F23" s="88"/>
      <c r="H23" s="85" t="s">
        <v>11</v>
      </c>
      <c r="I23" s="86"/>
      <c r="J23" s="86"/>
      <c r="K23" s="87">
        <f ca="1">(0.5 * K9) + (0.5 * K11)</f>
        <v>0.84142613865636295</v>
      </c>
      <c r="L23" s="88"/>
      <c r="N23" s="85" t="s">
        <v>11</v>
      </c>
      <c r="O23" s="86"/>
      <c r="P23" s="86"/>
      <c r="Q23" s="87">
        <f>(0.5 * Q9) + (0.5 * Q11)</f>
        <v>0.84138521839430269</v>
      </c>
      <c r="R23" s="88"/>
      <c r="T23" s="85" t="s">
        <v>11</v>
      </c>
      <c r="U23" s="86"/>
      <c r="V23" s="86"/>
      <c r="W23" s="87">
        <f ca="1">(0.5 * W9) + (0.5 * W11)</f>
        <v>0.86515787017718004</v>
      </c>
      <c r="X23" s="88"/>
    </row>
    <row r="24" spans="2:24" ht="16" thickBot="1" x14ac:dyDescent="0.25">
      <c r="B24" s="89" t="s">
        <v>12</v>
      </c>
      <c r="C24" s="90"/>
      <c r="D24" s="90"/>
      <c r="E24" s="91">
        <f ca="1">(0.5 * E14) + (0.5 * E16)</f>
        <v>0.97721905302707723</v>
      </c>
      <c r="F24" s="92"/>
      <c r="H24" s="89" t="s">
        <v>12</v>
      </c>
      <c r="I24" s="90"/>
      <c r="J24" s="90"/>
      <c r="K24" s="91">
        <f ca="1">(0.5 * K14) + (0.5 * K16)</f>
        <v>0.9771333724632103</v>
      </c>
      <c r="L24" s="92"/>
      <c r="N24" s="89" t="s">
        <v>12</v>
      </c>
      <c r="O24" s="90"/>
      <c r="P24" s="90"/>
      <c r="Q24" s="91">
        <f>(0.5 * Q14) + (0.5 * Q16)</f>
        <v>0.97719200673069628</v>
      </c>
      <c r="R24" s="92"/>
      <c r="T24" s="89" t="s">
        <v>12</v>
      </c>
      <c r="U24" s="90"/>
      <c r="V24" s="90"/>
      <c r="W24" s="91">
        <f ca="1">(0.5 * W14) + (0.5 * W16)</f>
        <v>0.97309488276286493</v>
      </c>
      <c r="X24" s="92"/>
    </row>
    <row r="25" spans="2:24" ht="16" thickBot="1" x14ac:dyDescent="0.25">
      <c r="B25" s="89" t="s">
        <v>13</v>
      </c>
      <c r="C25" s="90"/>
      <c r="D25" s="90"/>
      <c r="E25" s="91">
        <f ca="1">(0.5 * E19) + (0.5 * E21)</f>
        <v>0.69923948551165915</v>
      </c>
      <c r="F25" s="92"/>
      <c r="H25" s="89" t="s">
        <v>13</v>
      </c>
      <c r="I25" s="90"/>
      <c r="J25" s="90"/>
      <c r="K25" s="91">
        <f ca="1">(0.5 * K19) + (0.5 * K21)</f>
        <v>0.71261073322189217</v>
      </c>
      <c r="L25" s="92"/>
      <c r="N25" s="89" t="s">
        <v>13</v>
      </c>
      <c r="O25" s="90"/>
      <c r="P25" s="90"/>
      <c r="Q25" s="91">
        <f>(0.5 * Q19) + (0.5 * Q21)</f>
        <v>0.99903931967445414</v>
      </c>
      <c r="R25" s="92"/>
      <c r="T25" s="89" t="s">
        <v>13</v>
      </c>
      <c r="U25" s="90"/>
      <c r="V25" s="90"/>
      <c r="W25" s="91">
        <f ca="1">(0.5 * W19) + (0.5 * W21)</f>
        <v>0.54385461124562728</v>
      </c>
      <c r="X25" s="92"/>
    </row>
    <row r="26" spans="2:24" ht="20" customHeight="1" thickBot="1" x14ac:dyDescent="0.25">
      <c r="B26" s="39"/>
      <c r="C26" s="40"/>
      <c r="D26" s="40"/>
      <c r="E26" s="41"/>
      <c r="F26" s="40"/>
      <c r="H26" s="39"/>
      <c r="I26" s="40"/>
      <c r="J26" s="40"/>
      <c r="K26" s="41"/>
      <c r="L26" s="40"/>
      <c r="N26" s="39"/>
      <c r="O26" s="40"/>
      <c r="P26" s="40"/>
      <c r="Q26" s="41"/>
      <c r="R26" s="40"/>
    </row>
    <row r="27" spans="2:24" x14ac:dyDescent="0.2">
      <c r="B27" s="13" t="s">
        <v>2</v>
      </c>
      <c r="C27" s="2"/>
      <c r="D27" s="2"/>
      <c r="E27" s="2"/>
      <c r="F27" s="3" t="s">
        <v>38</v>
      </c>
      <c r="G27" s="1"/>
      <c r="H27" s="55" t="s">
        <v>3</v>
      </c>
      <c r="I27" s="56"/>
      <c r="J27" s="56"/>
      <c r="K27" s="56"/>
      <c r="L27" s="57" t="s">
        <v>38</v>
      </c>
      <c r="N27" s="13" t="s">
        <v>1</v>
      </c>
      <c r="O27" s="2"/>
      <c r="P27" s="2"/>
      <c r="Q27" s="2"/>
      <c r="R27" s="3" t="s">
        <v>38</v>
      </c>
      <c r="T27" s="13" t="s">
        <v>5</v>
      </c>
      <c r="U27" s="2"/>
      <c r="V27" s="2"/>
      <c r="W27" s="2"/>
      <c r="X27" s="3" t="s">
        <v>38</v>
      </c>
    </row>
    <row r="28" spans="2:24" x14ac:dyDescent="0.2">
      <c r="B28" s="4" t="s">
        <v>36</v>
      </c>
      <c r="C28" s="25">
        <v>13487</v>
      </c>
      <c r="D28" s="7"/>
      <c r="E28" s="7"/>
      <c r="F28" s="23">
        <f ca="1">TODAY()</f>
        <v>44523</v>
      </c>
      <c r="H28" s="58" t="s">
        <v>36</v>
      </c>
      <c r="I28" s="68">
        <v>8412</v>
      </c>
      <c r="J28" s="69"/>
      <c r="K28" s="69"/>
      <c r="L28" s="59">
        <f ca="1">TODAY()</f>
        <v>44523</v>
      </c>
      <c r="N28" s="4" t="s">
        <v>36</v>
      </c>
      <c r="O28" s="25">
        <v>35000</v>
      </c>
      <c r="P28" s="7"/>
      <c r="Q28" s="7"/>
      <c r="R28" s="23">
        <f ca="1">TODAY()</f>
        <v>44523</v>
      </c>
      <c r="T28" s="4" t="s">
        <v>36</v>
      </c>
      <c r="U28" s="25">
        <v>7920</v>
      </c>
      <c r="V28" s="7"/>
      <c r="W28" s="7"/>
      <c r="X28" s="23">
        <f ca="1">TODAY()</f>
        <v>44523</v>
      </c>
    </row>
    <row r="29" spans="2:24" x14ac:dyDescent="0.2">
      <c r="B29" s="4" t="s">
        <v>37</v>
      </c>
      <c r="C29" s="25">
        <v>7.0000000000000007E-2</v>
      </c>
      <c r="D29" s="7"/>
      <c r="E29" s="7"/>
      <c r="F29" s="23">
        <v>44545</v>
      </c>
      <c r="H29" s="58" t="s">
        <v>37</v>
      </c>
      <c r="I29" s="68">
        <v>0.06</v>
      </c>
      <c r="J29" s="69"/>
      <c r="K29" s="69"/>
      <c r="L29" s="59">
        <v>44636</v>
      </c>
      <c r="N29" s="4" t="s">
        <v>37</v>
      </c>
      <c r="O29" s="25">
        <v>0.17</v>
      </c>
      <c r="P29" s="7"/>
      <c r="Q29" s="7"/>
      <c r="R29" s="23">
        <v>44545</v>
      </c>
      <c r="T29" s="4" t="s">
        <v>37</v>
      </c>
      <c r="U29" s="25">
        <v>0.4</v>
      </c>
      <c r="V29" s="7"/>
      <c r="W29" s="7"/>
      <c r="X29" s="23">
        <v>44608</v>
      </c>
    </row>
    <row r="30" spans="2:24" x14ac:dyDescent="0.2">
      <c r="B30" s="4" t="s">
        <v>7</v>
      </c>
      <c r="C30" s="105">
        <f ca="1">SQRT(F30)</f>
        <v>4.6904157598234297</v>
      </c>
      <c r="D30" s="5"/>
      <c r="E30" s="5"/>
      <c r="F30" s="24">
        <f ca="1">F29-F28</f>
        <v>22</v>
      </c>
      <c r="H30" s="58" t="s">
        <v>7</v>
      </c>
      <c r="I30" s="106">
        <f ca="1">SQRT(L30)</f>
        <v>10.63014581273465</v>
      </c>
      <c r="J30" s="70"/>
      <c r="K30" s="70"/>
      <c r="L30" s="60">
        <f ca="1">L29-L28</f>
        <v>113</v>
      </c>
      <c r="N30" s="4" t="s">
        <v>7</v>
      </c>
      <c r="O30" s="105">
        <f>SQRT(R30)</f>
        <v>2.6457513110645907</v>
      </c>
      <c r="P30" s="5"/>
      <c r="Q30" s="5"/>
      <c r="R30" s="24">
        <v>7</v>
      </c>
      <c r="T30" s="4" t="s">
        <v>7</v>
      </c>
      <c r="U30" s="105">
        <f ca="1">SQRT(X30)</f>
        <v>9.2195444572928871</v>
      </c>
      <c r="V30" s="5"/>
      <c r="W30" s="5"/>
      <c r="X30" s="24">
        <f ca="1">X29-X28</f>
        <v>85</v>
      </c>
    </row>
    <row r="31" spans="2:24" x14ac:dyDescent="0.2">
      <c r="B31" s="4" t="s">
        <v>17</v>
      </c>
      <c r="C31" s="104">
        <f>SQRT(252)</f>
        <v>15.874507866387544</v>
      </c>
      <c r="D31" s="5"/>
      <c r="E31" s="5"/>
      <c r="F31" s="6"/>
      <c r="H31" s="58" t="s">
        <v>17</v>
      </c>
      <c r="I31" s="106">
        <f>SQRT(252)</f>
        <v>15.874507866387544</v>
      </c>
      <c r="J31" s="70"/>
      <c r="K31" s="70"/>
      <c r="L31" s="61"/>
      <c r="N31" s="4" t="s">
        <v>17</v>
      </c>
      <c r="O31" s="104">
        <f>SQRT(252)</f>
        <v>15.874507866387544</v>
      </c>
      <c r="P31" s="5"/>
      <c r="Q31" s="5"/>
      <c r="R31" s="6"/>
      <c r="T31" s="4" t="s">
        <v>17</v>
      </c>
      <c r="U31" s="104">
        <f>SQRT(252)</f>
        <v>15.874507866387544</v>
      </c>
      <c r="V31" s="5"/>
      <c r="W31" s="5"/>
      <c r="X31" s="6"/>
    </row>
    <row r="32" spans="2:24" x14ac:dyDescent="0.2">
      <c r="B32" s="14"/>
      <c r="C32" s="8"/>
      <c r="D32" s="8"/>
      <c r="E32" s="30"/>
      <c r="F32" s="9"/>
      <c r="H32" s="62"/>
      <c r="I32" s="71"/>
      <c r="J32" s="71"/>
      <c r="K32" s="72"/>
      <c r="L32" s="63"/>
      <c r="N32" s="14"/>
      <c r="O32" s="8"/>
      <c r="P32" s="8"/>
      <c r="Q32" s="30"/>
      <c r="R32" s="9"/>
      <c r="T32" s="14"/>
      <c r="U32" s="8"/>
      <c r="V32" s="8"/>
      <c r="W32" s="30"/>
      <c r="X32" s="9"/>
    </row>
    <row r="33" spans="1:564" x14ac:dyDescent="0.2">
      <c r="B33" s="53" t="s">
        <v>46</v>
      </c>
      <c r="C33" s="54"/>
      <c r="D33" s="8"/>
      <c r="E33" s="8"/>
      <c r="F33" s="93" t="s">
        <v>56</v>
      </c>
      <c r="H33" s="53" t="s">
        <v>46</v>
      </c>
      <c r="I33" s="54"/>
      <c r="J33" s="8"/>
      <c r="K33" s="8"/>
      <c r="L33" s="93" t="s">
        <v>56</v>
      </c>
      <c r="N33" s="53" t="s">
        <v>46</v>
      </c>
      <c r="O33" s="54"/>
      <c r="P33" s="8"/>
      <c r="Q33" s="8"/>
      <c r="R33" s="93" t="s">
        <v>56</v>
      </c>
      <c r="T33" s="53" t="s">
        <v>46</v>
      </c>
      <c r="U33" s="54"/>
      <c r="V33" s="8"/>
      <c r="W33" s="8"/>
      <c r="X33" s="93" t="s">
        <v>56</v>
      </c>
    </row>
    <row r="34" spans="1:564" x14ac:dyDescent="0.2">
      <c r="B34" s="10" t="s">
        <v>33</v>
      </c>
      <c r="C34" s="83" t="s">
        <v>18</v>
      </c>
      <c r="D34" s="51" t="s">
        <v>19</v>
      </c>
      <c r="E34" s="51" t="s">
        <v>20</v>
      </c>
      <c r="F34" s="52" t="s">
        <v>21</v>
      </c>
      <c r="H34" s="84" t="s">
        <v>33</v>
      </c>
      <c r="I34" s="77" t="s">
        <v>18</v>
      </c>
      <c r="J34" s="73" t="s">
        <v>19</v>
      </c>
      <c r="K34" s="73" t="s">
        <v>20</v>
      </c>
      <c r="L34" s="64" t="s">
        <v>21</v>
      </c>
      <c r="N34" s="10" t="s">
        <v>33</v>
      </c>
      <c r="O34" s="83" t="s">
        <v>18</v>
      </c>
      <c r="P34" s="51" t="s">
        <v>19</v>
      </c>
      <c r="Q34" s="51" t="s">
        <v>20</v>
      </c>
      <c r="R34" s="52" t="s">
        <v>21</v>
      </c>
      <c r="T34" s="10" t="s">
        <v>33</v>
      </c>
      <c r="U34" s="83" t="s">
        <v>18</v>
      </c>
      <c r="V34" s="51" t="s">
        <v>19</v>
      </c>
      <c r="W34" s="51" t="s">
        <v>20</v>
      </c>
      <c r="X34" s="52" t="s">
        <v>21</v>
      </c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  <c r="IX34" s="96"/>
      <c r="IY34" s="96"/>
      <c r="IZ34" s="96"/>
      <c r="JA34" s="96"/>
      <c r="JB34" s="96"/>
      <c r="JC34" s="96"/>
      <c r="JD34" s="96"/>
      <c r="JE34" s="96"/>
      <c r="JF34" s="96"/>
      <c r="JG34" s="96"/>
      <c r="JH34" s="96"/>
      <c r="JI34" s="96"/>
      <c r="JJ34" s="96"/>
      <c r="JK34" s="96"/>
      <c r="JL34" s="96"/>
      <c r="JM34" s="96"/>
      <c r="JN34" s="96"/>
      <c r="JO34" s="96"/>
      <c r="JP34" s="96"/>
      <c r="JQ34" s="96"/>
      <c r="JR34" s="96"/>
      <c r="JS34" s="96"/>
      <c r="JT34" s="96"/>
      <c r="JU34" s="96"/>
      <c r="JV34" s="96"/>
      <c r="JW34" s="96"/>
      <c r="JX34" s="96"/>
      <c r="JY34" s="96"/>
      <c r="JZ34" s="96"/>
      <c r="KA34" s="96"/>
      <c r="KB34" s="96"/>
      <c r="KC34" s="96"/>
      <c r="KD34" s="96"/>
      <c r="KE34" s="96"/>
      <c r="KF34" s="96"/>
      <c r="KG34" s="96"/>
      <c r="KH34" s="96"/>
      <c r="KI34" s="96"/>
      <c r="KJ34" s="96"/>
      <c r="KK34" s="96"/>
      <c r="KL34" s="96"/>
      <c r="KM34" s="96"/>
      <c r="KN34" s="96"/>
      <c r="KO34" s="96"/>
      <c r="KP34" s="96"/>
      <c r="KQ34" s="96"/>
      <c r="KR34" s="96"/>
      <c r="KS34" s="96"/>
      <c r="KT34" s="96"/>
      <c r="KU34" s="96"/>
      <c r="KV34" s="96"/>
      <c r="KW34" s="96"/>
      <c r="KX34" s="96"/>
      <c r="KY34" s="96"/>
      <c r="KZ34" s="96"/>
      <c r="LA34" s="96"/>
      <c r="LB34" s="96"/>
      <c r="LC34" s="96"/>
      <c r="LD34" s="96"/>
      <c r="LE34" s="96"/>
      <c r="LF34" s="96"/>
      <c r="LG34" s="96"/>
      <c r="LH34" s="96"/>
      <c r="LI34" s="96"/>
      <c r="LJ34" s="96"/>
      <c r="LK34" s="96"/>
      <c r="LL34" s="96"/>
      <c r="LM34" s="96"/>
      <c r="LN34" s="96"/>
      <c r="LO34" s="96"/>
      <c r="LP34" s="96"/>
      <c r="LQ34" s="96"/>
      <c r="LR34" s="96"/>
      <c r="LS34" s="96"/>
      <c r="LT34" s="96"/>
      <c r="LU34" s="96"/>
      <c r="LV34" s="96"/>
      <c r="LW34" s="96"/>
      <c r="LX34" s="96"/>
      <c r="LY34" s="96"/>
      <c r="LZ34" s="96"/>
      <c r="MA34" s="96"/>
      <c r="MB34" s="96"/>
      <c r="MC34" s="96"/>
      <c r="MD34" s="96"/>
      <c r="ME34" s="96"/>
      <c r="MF34" s="96"/>
      <c r="MG34" s="96"/>
      <c r="MH34" s="96"/>
      <c r="MI34" s="96"/>
      <c r="MJ34" s="96"/>
      <c r="MK34" s="96"/>
      <c r="ML34" s="96"/>
      <c r="MM34" s="96"/>
      <c r="MN34" s="96"/>
      <c r="MO34" s="96"/>
      <c r="MP34" s="96"/>
      <c r="MQ34" s="96"/>
      <c r="MR34" s="96"/>
      <c r="MS34" s="96"/>
      <c r="MT34" s="96"/>
      <c r="MU34" s="96"/>
      <c r="MV34" s="96"/>
      <c r="MW34" s="96"/>
      <c r="MX34" s="96"/>
      <c r="MY34" s="96"/>
      <c r="MZ34" s="96"/>
      <c r="NA34" s="96"/>
      <c r="NB34" s="96"/>
      <c r="NC34" s="96"/>
      <c r="ND34" s="96"/>
      <c r="NE34" s="96"/>
      <c r="NF34" s="96"/>
      <c r="NG34" s="96"/>
      <c r="NH34" s="96"/>
      <c r="NI34" s="96"/>
      <c r="NJ34" s="96"/>
      <c r="NK34" s="96"/>
      <c r="NL34" s="96"/>
      <c r="NM34" s="96"/>
      <c r="NN34" s="96"/>
      <c r="NO34" s="96"/>
      <c r="NP34" s="96"/>
      <c r="NQ34" s="96"/>
      <c r="NR34" s="96"/>
      <c r="NS34" s="96"/>
      <c r="NT34" s="96"/>
      <c r="NU34" s="96"/>
      <c r="NV34" s="96"/>
      <c r="NW34" s="96"/>
      <c r="NX34" s="96"/>
      <c r="NY34" s="96"/>
      <c r="NZ34" s="96"/>
      <c r="OA34" s="96"/>
      <c r="OB34" s="96"/>
      <c r="OC34" s="96"/>
      <c r="OD34" s="96"/>
      <c r="OE34" s="96"/>
      <c r="OF34" s="96"/>
      <c r="OG34" s="96"/>
      <c r="OH34" s="96"/>
      <c r="OI34" s="96"/>
      <c r="OJ34" s="96"/>
      <c r="OK34" s="96"/>
      <c r="OL34" s="96"/>
      <c r="OM34" s="96"/>
      <c r="ON34" s="96"/>
      <c r="OO34" s="96"/>
      <c r="OP34" s="96"/>
      <c r="OQ34" s="96"/>
      <c r="OR34" s="96"/>
      <c r="OS34" s="96"/>
      <c r="OT34" s="96"/>
      <c r="OU34" s="96"/>
      <c r="OV34" s="96"/>
      <c r="OW34" s="96"/>
      <c r="OX34" s="96"/>
      <c r="OY34" s="96"/>
      <c r="OZ34" s="96"/>
      <c r="PA34" s="96"/>
      <c r="PB34" s="96"/>
      <c r="PC34" s="96"/>
      <c r="PD34" s="96"/>
      <c r="PE34" s="96"/>
      <c r="PF34" s="96"/>
      <c r="PG34" s="96"/>
      <c r="PH34" s="96"/>
      <c r="PI34" s="96"/>
      <c r="PJ34" s="96"/>
      <c r="PK34" s="96"/>
      <c r="PL34" s="96"/>
      <c r="PM34" s="96"/>
      <c r="PN34" s="96"/>
      <c r="PO34" s="96"/>
      <c r="PP34" s="96"/>
      <c r="PQ34" s="96"/>
      <c r="PR34" s="96"/>
      <c r="PS34" s="96"/>
      <c r="PT34" s="96"/>
      <c r="PU34" s="96"/>
      <c r="PV34" s="96"/>
      <c r="PW34" s="96"/>
      <c r="PX34" s="96"/>
      <c r="PY34" s="96"/>
      <c r="PZ34" s="96"/>
      <c r="QA34" s="96"/>
      <c r="QB34" s="96"/>
      <c r="QC34" s="96"/>
      <c r="QD34" s="96"/>
      <c r="QE34" s="96"/>
      <c r="QF34" s="96"/>
      <c r="QG34" s="96"/>
      <c r="QH34" s="96"/>
      <c r="QI34" s="96"/>
      <c r="QJ34" s="96"/>
      <c r="QK34" s="96"/>
      <c r="QL34" s="96"/>
      <c r="QM34" s="96"/>
      <c r="QN34" s="96"/>
      <c r="QO34" s="96"/>
      <c r="QP34" s="96"/>
      <c r="QQ34" s="96"/>
      <c r="QR34" s="96"/>
      <c r="QS34" s="96"/>
      <c r="QT34" s="96"/>
      <c r="QU34" s="96"/>
      <c r="QV34" s="96"/>
      <c r="QW34" s="96"/>
      <c r="QX34" s="96"/>
      <c r="QY34" s="96"/>
      <c r="QZ34" s="96"/>
      <c r="RA34" s="96"/>
      <c r="RB34" s="96"/>
      <c r="RC34" s="96"/>
      <c r="RD34" s="96"/>
      <c r="RE34" s="96"/>
      <c r="RF34" s="96"/>
      <c r="RG34" s="96"/>
      <c r="RH34" s="96"/>
      <c r="RI34" s="96"/>
      <c r="RJ34" s="96"/>
      <c r="RK34" s="96"/>
      <c r="RL34" s="96"/>
      <c r="RM34" s="96"/>
      <c r="RN34" s="96"/>
      <c r="RO34" s="96"/>
      <c r="RP34" s="96"/>
      <c r="RQ34" s="96"/>
      <c r="RR34" s="96"/>
      <c r="RS34" s="96"/>
      <c r="RT34" s="96"/>
      <c r="RU34" s="96"/>
      <c r="RV34" s="96"/>
      <c r="RW34" s="96"/>
      <c r="RX34" s="96"/>
      <c r="RY34" s="96"/>
      <c r="RZ34" s="96"/>
      <c r="SA34" s="96"/>
      <c r="SB34" s="96"/>
      <c r="SC34" s="96"/>
      <c r="SD34" s="96"/>
      <c r="SE34" s="96"/>
      <c r="SF34" s="96"/>
      <c r="SG34" s="96"/>
      <c r="SH34" s="96"/>
      <c r="SI34" s="96"/>
      <c r="SJ34" s="96"/>
      <c r="SK34" s="96"/>
      <c r="SL34" s="96"/>
      <c r="SM34" s="96"/>
      <c r="SN34" s="96"/>
      <c r="SO34" s="96"/>
      <c r="SP34" s="96"/>
      <c r="SQ34" s="96"/>
      <c r="SR34" s="96"/>
      <c r="SS34" s="96"/>
      <c r="ST34" s="96"/>
      <c r="SU34" s="96"/>
      <c r="SV34" s="96"/>
      <c r="SW34" s="96"/>
      <c r="SX34" s="96"/>
      <c r="SY34" s="96"/>
      <c r="SZ34" s="96"/>
      <c r="TA34" s="96"/>
      <c r="TB34" s="96"/>
      <c r="TC34" s="96"/>
      <c r="TD34" s="96"/>
      <c r="TE34" s="96"/>
      <c r="TF34" s="96"/>
      <c r="TG34" s="96"/>
      <c r="TH34" s="96"/>
      <c r="TI34" s="96"/>
      <c r="TJ34" s="96"/>
      <c r="TK34" s="96"/>
      <c r="TL34" s="96"/>
      <c r="TM34" s="96"/>
      <c r="TN34" s="96"/>
      <c r="TO34" s="96"/>
      <c r="TP34" s="96"/>
      <c r="TQ34" s="96"/>
      <c r="TR34" s="96"/>
      <c r="TS34" s="96"/>
      <c r="TT34" s="96"/>
      <c r="TU34" s="96"/>
      <c r="TV34" s="96"/>
      <c r="TW34" s="96"/>
      <c r="TX34" s="96"/>
      <c r="TY34" s="96"/>
      <c r="TZ34" s="96"/>
      <c r="UA34" s="96"/>
      <c r="UB34" s="96"/>
      <c r="UC34" s="96"/>
      <c r="UD34" s="96"/>
      <c r="UE34" s="96"/>
      <c r="UF34" s="96"/>
      <c r="UG34" s="96"/>
      <c r="UH34" s="96"/>
      <c r="UI34" s="96"/>
      <c r="UJ34" s="96"/>
      <c r="UK34" s="96"/>
      <c r="UL34" s="96"/>
      <c r="UM34" s="96"/>
      <c r="UN34" s="96"/>
      <c r="UO34" s="96"/>
      <c r="UP34" s="96"/>
      <c r="UQ34" s="96"/>
      <c r="UR34" s="96"/>
    </row>
    <row r="35" spans="1:564" s="95" customFormat="1" x14ac:dyDescent="0.2">
      <c r="A35" s="96"/>
      <c r="B35" s="62" t="s">
        <v>43</v>
      </c>
      <c r="C35" s="78">
        <v>0.4</v>
      </c>
      <c r="D35" s="74">
        <f ca="1">C28-F35</f>
        <v>13340.718980414138</v>
      </c>
      <c r="E35" s="74">
        <f ca="1">C28+F35</f>
        <v>13633.281019585862</v>
      </c>
      <c r="F35" s="65">
        <f ca="1">0.524401*((C28*C29*C30)/C31)</f>
        <v>146.28101958586115</v>
      </c>
      <c r="G35" s="96"/>
      <c r="H35" s="62" t="s">
        <v>43</v>
      </c>
      <c r="I35" s="78">
        <v>0.4</v>
      </c>
      <c r="J35" s="74">
        <f ca="1">I28-L35</f>
        <v>8234.7635768126966</v>
      </c>
      <c r="K35" s="74">
        <f ca="1">I28+L35</f>
        <v>8589.2364231873034</v>
      </c>
      <c r="L35" s="65">
        <f ca="1">0.524401*((I28*I29*I30)/I31)</f>
        <v>177.23642318730305</v>
      </c>
      <c r="M35" s="96"/>
      <c r="N35" s="62" t="s">
        <v>43</v>
      </c>
      <c r="O35" s="78">
        <v>0.4</v>
      </c>
      <c r="P35" s="74">
        <f>O28-R35</f>
        <v>34479.969008333333</v>
      </c>
      <c r="Q35" s="74">
        <f>O28+R35</f>
        <v>35520.030991666667</v>
      </c>
      <c r="R35" s="65">
        <f>0.524401*((O28*O29*O30)/O31)</f>
        <v>520.03099166666664</v>
      </c>
      <c r="S35" s="96"/>
      <c r="T35" s="62" t="s">
        <v>43</v>
      </c>
      <c r="U35" s="78">
        <v>0.4</v>
      </c>
      <c r="V35" s="74">
        <f ca="1">U28-X35</f>
        <v>6955.1542757925254</v>
      </c>
      <c r="W35" s="74">
        <f ca="1">U28+X35</f>
        <v>8884.8457242074746</v>
      </c>
      <c r="X35" s="65">
        <f ca="1">0.524401*((U28*U29*U30)/U31)</f>
        <v>964.84572420747497</v>
      </c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  <c r="IX35" s="96"/>
      <c r="IY35" s="96"/>
      <c r="IZ35" s="96"/>
      <c r="JA35" s="96"/>
      <c r="JB35" s="96"/>
      <c r="JC35" s="96"/>
      <c r="JD35" s="96"/>
      <c r="JE35" s="96"/>
      <c r="JF35" s="96"/>
      <c r="JG35" s="96"/>
      <c r="JH35" s="96"/>
      <c r="JI35" s="96"/>
      <c r="JJ35" s="96"/>
      <c r="JK35" s="96"/>
      <c r="JL35" s="96"/>
      <c r="JM35" s="96"/>
      <c r="JN35" s="96"/>
      <c r="JO35" s="96"/>
      <c r="JP35" s="96"/>
      <c r="JQ35" s="96"/>
      <c r="JR35" s="96"/>
      <c r="JS35" s="96"/>
      <c r="JT35" s="96"/>
      <c r="JU35" s="96"/>
      <c r="JV35" s="96"/>
      <c r="JW35" s="96"/>
      <c r="JX35" s="96"/>
      <c r="JY35" s="96"/>
      <c r="JZ35" s="96"/>
      <c r="KA35" s="96"/>
      <c r="KB35" s="96"/>
      <c r="KC35" s="96"/>
      <c r="KD35" s="96"/>
      <c r="KE35" s="96"/>
      <c r="KF35" s="96"/>
      <c r="KG35" s="96"/>
      <c r="KH35" s="96"/>
      <c r="KI35" s="96"/>
      <c r="KJ35" s="96"/>
      <c r="KK35" s="96"/>
      <c r="KL35" s="96"/>
      <c r="KM35" s="96"/>
      <c r="KN35" s="96"/>
      <c r="KO35" s="96"/>
      <c r="KP35" s="96"/>
      <c r="KQ35" s="96"/>
      <c r="KR35" s="96"/>
      <c r="KS35" s="96"/>
      <c r="KT35" s="96"/>
      <c r="KU35" s="96"/>
      <c r="KV35" s="96"/>
      <c r="KW35" s="96"/>
      <c r="KX35" s="96"/>
      <c r="KY35" s="96"/>
      <c r="KZ35" s="96"/>
      <c r="LA35" s="96"/>
      <c r="LB35" s="96"/>
      <c r="LC35" s="96"/>
      <c r="LD35" s="96"/>
      <c r="LE35" s="96"/>
      <c r="LF35" s="96"/>
      <c r="LG35" s="96"/>
      <c r="LH35" s="96"/>
      <c r="LI35" s="96"/>
      <c r="LJ35" s="96"/>
      <c r="LK35" s="96"/>
      <c r="LL35" s="96"/>
      <c r="LM35" s="96"/>
      <c r="LN35" s="96"/>
      <c r="LO35" s="96"/>
      <c r="LP35" s="96"/>
      <c r="LQ35" s="96"/>
      <c r="LR35" s="96"/>
      <c r="LS35" s="96"/>
      <c r="LT35" s="96"/>
      <c r="LU35" s="96"/>
      <c r="LV35" s="96"/>
      <c r="LW35" s="96"/>
      <c r="LX35" s="96"/>
      <c r="LY35" s="96"/>
      <c r="LZ35" s="96"/>
      <c r="MA35" s="96"/>
      <c r="MB35" s="96"/>
      <c r="MC35" s="96"/>
      <c r="MD35" s="96"/>
      <c r="ME35" s="96"/>
      <c r="MF35" s="96"/>
      <c r="MG35" s="96"/>
      <c r="MH35" s="96"/>
      <c r="MI35" s="96"/>
      <c r="MJ35" s="96"/>
      <c r="MK35" s="96"/>
      <c r="ML35" s="96"/>
      <c r="MM35" s="96"/>
      <c r="MN35" s="96"/>
      <c r="MO35" s="96"/>
      <c r="MP35" s="96"/>
      <c r="MQ35" s="96"/>
      <c r="MR35" s="96"/>
      <c r="MS35" s="96"/>
      <c r="MT35" s="96"/>
      <c r="MU35" s="96"/>
      <c r="MV35" s="96"/>
      <c r="MW35" s="96"/>
      <c r="MX35" s="96"/>
      <c r="MY35" s="96"/>
      <c r="MZ35" s="96"/>
      <c r="NA35" s="96"/>
      <c r="NB35" s="96"/>
      <c r="NC35" s="96"/>
      <c r="ND35" s="96"/>
      <c r="NE35" s="96"/>
      <c r="NF35" s="96"/>
      <c r="NG35" s="96"/>
      <c r="NH35" s="96"/>
      <c r="NI35" s="96"/>
      <c r="NJ35" s="96"/>
      <c r="NK35" s="96"/>
      <c r="NL35" s="96"/>
      <c r="NM35" s="96"/>
      <c r="NN35" s="96"/>
      <c r="NO35" s="96"/>
      <c r="NP35" s="96"/>
      <c r="NQ35" s="96"/>
      <c r="NR35" s="96"/>
      <c r="NS35" s="96"/>
      <c r="NT35" s="96"/>
      <c r="NU35" s="96"/>
      <c r="NV35" s="96"/>
      <c r="NW35" s="96"/>
      <c r="NX35" s="96"/>
      <c r="NY35" s="96"/>
      <c r="NZ35" s="96"/>
      <c r="OA35" s="96"/>
      <c r="OB35" s="96"/>
      <c r="OC35" s="96"/>
      <c r="OD35" s="96"/>
      <c r="OE35" s="96"/>
      <c r="OF35" s="96"/>
      <c r="OG35" s="96"/>
      <c r="OH35" s="96"/>
      <c r="OI35" s="96"/>
      <c r="OJ35" s="96"/>
      <c r="OK35" s="96"/>
      <c r="OL35" s="96"/>
      <c r="OM35" s="96"/>
      <c r="ON35" s="96"/>
      <c r="OO35" s="96"/>
      <c r="OP35" s="96"/>
      <c r="OQ35" s="96"/>
      <c r="OR35" s="96"/>
      <c r="OS35" s="96"/>
      <c r="OT35" s="96"/>
      <c r="OU35" s="96"/>
      <c r="OV35" s="96"/>
      <c r="OW35" s="96"/>
      <c r="OX35" s="96"/>
      <c r="OY35" s="96"/>
      <c r="OZ35" s="96"/>
      <c r="PA35" s="96"/>
      <c r="PB35" s="96"/>
      <c r="PC35" s="96"/>
      <c r="PD35" s="96"/>
      <c r="PE35" s="96"/>
      <c r="PF35" s="96"/>
      <c r="PG35" s="96"/>
      <c r="PH35" s="96"/>
      <c r="PI35" s="96"/>
      <c r="PJ35" s="96"/>
      <c r="PK35" s="96"/>
      <c r="PL35" s="96"/>
      <c r="PM35" s="96"/>
      <c r="PN35" s="96"/>
      <c r="PO35" s="96"/>
      <c r="PP35" s="96"/>
      <c r="PQ35" s="96"/>
      <c r="PR35" s="96"/>
      <c r="PS35" s="96"/>
      <c r="PT35" s="96"/>
      <c r="PU35" s="96"/>
      <c r="PV35" s="96"/>
      <c r="PW35" s="96"/>
      <c r="PX35" s="96"/>
      <c r="PY35" s="96"/>
      <c r="PZ35" s="96"/>
      <c r="QA35" s="96"/>
      <c r="QB35" s="96"/>
      <c r="QC35" s="96"/>
      <c r="QD35" s="96"/>
      <c r="QE35" s="96"/>
      <c r="QF35" s="96"/>
      <c r="QG35" s="96"/>
      <c r="QH35" s="96"/>
      <c r="QI35" s="96"/>
      <c r="QJ35" s="96"/>
      <c r="QK35" s="96"/>
      <c r="QL35" s="96"/>
      <c r="QM35" s="96"/>
      <c r="QN35" s="96"/>
      <c r="QO35" s="96"/>
      <c r="QP35" s="96"/>
      <c r="QQ35" s="96"/>
      <c r="QR35" s="96"/>
      <c r="QS35" s="96"/>
      <c r="QT35" s="96"/>
      <c r="QU35" s="96"/>
      <c r="QV35" s="96"/>
      <c r="QW35" s="96"/>
      <c r="QX35" s="96"/>
      <c r="QY35" s="96"/>
      <c r="QZ35" s="96"/>
      <c r="RA35" s="96"/>
      <c r="RB35" s="96"/>
      <c r="RC35" s="96"/>
      <c r="RD35" s="96"/>
      <c r="RE35" s="96"/>
      <c r="RF35" s="96"/>
      <c r="RG35" s="96"/>
      <c r="RH35" s="96"/>
      <c r="RI35" s="96"/>
      <c r="RJ35" s="96"/>
      <c r="RK35" s="96"/>
      <c r="RL35" s="96"/>
      <c r="RM35" s="96"/>
      <c r="RN35" s="96"/>
      <c r="RO35" s="96"/>
      <c r="RP35" s="96"/>
      <c r="RQ35" s="96"/>
      <c r="RR35" s="96"/>
      <c r="RS35" s="96"/>
      <c r="RT35" s="96"/>
      <c r="RU35" s="96"/>
      <c r="RV35" s="96"/>
      <c r="RW35" s="96"/>
      <c r="RX35" s="96"/>
      <c r="RY35" s="96"/>
      <c r="RZ35" s="96"/>
      <c r="SA35" s="96"/>
      <c r="SB35" s="96"/>
      <c r="SC35" s="96"/>
      <c r="SD35" s="96"/>
      <c r="SE35" s="96"/>
      <c r="SF35" s="96"/>
      <c r="SG35" s="96"/>
      <c r="SH35" s="96"/>
      <c r="SI35" s="96"/>
      <c r="SJ35" s="96"/>
      <c r="SK35" s="96"/>
      <c r="SL35" s="96"/>
      <c r="SM35" s="96"/>
      <c r="SN35" s="96"/>
      <c r="SO35" s="96"/>
      <c r="SP35" s="96"/>
      <c r="SQ35" s="96"/>
      <c r="SR35" s="96"/>
      <c r="SS35" s="96"/>
      <c r="ST35" s="96"/>
      <c r="SU35" s="96"/>
      <c r="SV35" s="96"/>
      <c r="SW35" s="96"/>
      <c r="SX35" s="96"/>
      <c r="SY35" s="96"/>
      <c r="SZ35" s="96"/>
      <c r="TA35" s="96"/>
      <c r="TB35" s="96"/>
      <c r="TC35" s="96"/>
      <c r="TD35" s="96"/>
      <c r="TE35" s="96"/>
      <c r="TF35" s="96"/>
      <c r="TG35" s="96"/>
      <c r="TH35" s="96"/>
      <c r="TI35" s="96"/>
      <c r="TJ35" s="96"/>
      <c r="TK35" s="96"/>
      <c r="TL35" s="96"/>
      <c r="TM35" s="96"/>
      <c r="TN35" s="96"/>
      <c r="TO35" s="96"/>
      <c r="TP35" s="96"/>
      <c r="TQ35" s="96"/>
      <c r="TR35" s="96"/>
      <c r="TS35" s="96"/>
      <c r="TT35" s="96"/>
      <c r="TU35" s="96"/>
      <c r="TV35" s="96"/>
      <c r="TW35" s="96"/>
      <c r="TX35" s="96"/>
      <c r="TY35" s="96"/>
      <c r="TZ35" s="96"/>
      <c r="UA35" s="96"/>
      <c r="UB35" s="96"/>
      <c r="UC35" s="96"/>
      <c r="UD35" s="96"/>
      <c r="UE35" s="96"/>
      <c r="UF35" s="96"/>
      <c r="UG35" s="96"/>
      <c r="UH35" s="96"/>
      <c r="UI35" s="96"/>
      <c r="UJ35" s="96"/>
      <c r="UK35" s="96"/>
      <c r="UL35" s="96"/>
      <c r="UM35" s="96"/>
      <c r="UN35" s="96"/>
      <c r="UO35" s="96"/>
      <c r="UP35" s="96"/>
      <c r="UQ35" s="96"/>
      <c r="UR35" s="96"/>
    </row>
    <row r="36" spans="1:564" x14ac:dyDescent="0.2">
      <c r="B36" s="62" t="s">
        <v>32</v>
      </c>
      <c r="C36" s="78">
        <v>0.45</v>
      </c>
      <c r="D36" s="74">
        <f ca="1">C28-F36</f>
        <v>13320.255576805452</v>
      </c>
      <c r="E36" s="74">
        <f ca="1">C28+F36</f>
        <v>13653.744423194548</v>
      </c>
      <c r="F36" s="65">
        <f ca="1">0.59776*((C28*C29*C30)/C31)</f>
        <v>166.74442319454835</v>
      </c>
      <c r="H36" s="62" t="s">
        <v>32</v>
      </c>
      <c r="I36" s="78">
        <v>0.45</v>
      </c>
      <c r="J36" s="74">
        <f ca="1">I28-L36</f>
        <v>8209.9697896753769</v>
      </c>
      <c r="K36" s="74">
        <f ca="1">I28+L36</f>
        <v>8614.0302103246231</v>
      </c>
      <c r="L36" s="65">
        <f ca="1">0.59776*((I28*I29*I30)/I31)</f>
        <v>202.03021032462232</v>
      </c>
      <c r="N36" s="62" t="s">
        <v>32</v>
      </c>
      <c r="O36" s="78">
        <v>0.45</v>
      </c>
      <c r="P36" s="74">
        <f>O28-R36</f>
        <v>34407.221333333335</v>
      </c>
      <c r="Q36" s="74">
        <f>O28+R36</f>
        <v>35592.778666666665</v>
      </c>
      <c r="R36" s="65">
        <f>0.59776*((O28*O29*O30)/O31)</f>
        <v>592.7786666666666</v>
      </c>
      <c r="T36" s="62" t="s">
        <v>32</v>
      </c>
      <c r="U36" s="78">
        <v>0.45</v>
      </c>
      <c r="V36" s="74">
        <f ca="1">U28-X36</f>
        <v>6820.1810063248158</v>
      </c>
      <c r="W36" s="74">
        <f ca="1">U28+X36</f>
        <v>9019.8189936751842</v>
      </c>
      <c r="X36" s="65">
        <f ca="1">0.59776*((U28*U29*U30)/U31)</f>
        <v>1099.8189936751839</v>
      </c>
    </row>
    <row r="37" spans="1:564" x14ac:dyDescent="0.2">
      <c r="B37" s="62" t="s">
        <v>31</v>
      </c>
      <c r="C37" s="78">
        <v>0.5</v>
      </c>
      <c r="D37" s="74">
        <f ca="1">C28-F37</f>
        <v>13298.85183685678</v>
      </c>
      <c r="E37" s="74">
        <f ca="1">C28+F37</f>
        <v>13675.14816314322</v>
      </c>
      <c r="F37" s="65">
        <f ca="1">0.67449*((C28*C29*C30)/C31)</f>
        <v>188.14816314321959</v>
      </c>
      <c r="H37" s="62" t="s">
        <v>31</v>
      </c>
      <c r="I37" s="78">
        <v>0.5</v>
      </c>
      <c r="J37" s="74">
        <f ca="1">I28-L37</f>
        <v>8184.0366759872613</v>
      </c>
      <c r="K37" s="74">
        <f ca="1">I28+L37</f>
        <v>8639.9633240127387</v>
      </c>
      <c r="L37" s="65">
        <f ca="1">0.67449*((I28*I29*I30)/I31)</f>
        <v>227.96332401273844</v>
      </c>
      <c r="N37" s="62" t="s">
        <v>31</v>
      </c>
      <c r="O37" s="78">
        <v>0.5</v>
      </c>
      <c r="P37" s="74">
        <f>O28-R37</f>
        <v>34331.130749999997</v>
      </c>
      <c r="Q37" s="74">
        <f>O28+R37</f>
        <v>35668.869250000003</v>
      </c>
      <c r="R37" s="65">
        <f>0.67449*((O28*O29*O30)/O31)</f>
        <v>668.86924999999997</v>
      </c>
      <c r="T37" s="62" t="s">
        <v>31</v>
      </c>
      <c r="U37" s="78">
        <v>0.5</v>
      </c>
      <c r="V37" s="74">
        <f ca="1">U28-X37</f>
        <v>6679.0054318723651</v>
      </c>
      <c r="W37" s="74">
        <f ca="1">U28+X37</f>
        <v>9160.9945681276349</v>
      </c>
      <c r="X37" s="65">
        <f ca="1">0.67449*((U28*U29*U30)/U31)</f>
        <v>1240.9945681276349</v>
      </c>
    </row>
    <row r="38" spans="1:564" x14ac:dyDescent="0.2">
      <c r="B38" s="62" t="s">
        <v>30</v>
      </c>
      <c r="C38" s="78">
        <v>0.55000000000000004</v>
      </c>
      <c r="D38" s="74">
        <f ca="1">C28-F38</f>
        <v>13276.277906772768</v>
      </c>
      <c r="E38" s="74">
        <f ca="1">C28+F38</f>
        <v>13697.722093227232</v>
      </c>
      <c r="F38" s="65">
        <f ca="1">0.755415*((C28*C29*C30)/C31)</f>
        <v>210.72209322723126</v>
      </c>
      <c r="H38" s="62" t="s">
        <v>30</v>
      </c>
      <c r="I38" s="78">
        <v>0.55000000000000004</v>
      </c>
      <c r="J38" s="74">
        <f ca="1">I28-L38</f>
        <v>8156.6857412132385</v>
      </c>
      <c r="K38" s="74">
        <f ca="1">I28+L38</f>
        <v>8667.3142587867624</v>
      </c>
      <c r="L38" s="65">
        <f ca="1">0.755415*((I28*I29*I30)/I31)</f>
        <v>255.31425878676151</v>
      </c>
      <c r="N38" s="62" t="s">
        <v>30</v>
      </c>
      <c r="O38" s="78">
        <v>0.55000000000000004</v>
      </c>
      <c r="P38" s="74">
        <f>O28-R38</f>
        <v>34250.880125000003</v>
      </c>
      <c r="Q38" s="74">
        <f>O28+R38</f>
        <v>35749.119874999997</v>
      </c>
      <c r="R38" s="65">
        <f>0.755415*((O28*O29*O30)/O31)</f>
        <v>749.11987499999987</v>
      </c>
      <c r="T38" s="62" t="s">
        <v>30</v>
      </c>
      <c r="U38" s="78">
        <v>0.55000000000000004</v>
      </c>
      <c r="V38" s="74">
        <f ca="1">U28-X38</f>
        <v>6530.1114743255839</v>
      </c>
      <c r="W38" s="74">
        <f ca="1">U28+X38</f>
        <v>9309.8885256744161</v>
      </c>
      <c r="X38" s="65">
        <f ca="1">0.755415*((U28*U29*U30)/U31)</f>
        <v>1389.8885256744165</v>
      </c>
    </row>
    <row r="39" spans="1:564" x14ac:dyDescent="0.2">
      <c r="B39" s="62" t="s">
        <v>29</v>
      </c>
      <c r="C39" s="78">
        <v>0.6</v>
      </c>
      <c r="D39" s="74">
        <f ca="1">C28-F39</f>
        <v>13252.230848177498</v>
      </c>
      <c r="E39" s="74">
        <f ca="1">C28+F39</f>
        <v>13721.769151822502</v>
      </c>
      <c r="F39" s="65">
        <f ca="1">0.841621*((C28*C29*C30)/C31)</f>
        <v>234.76915182250232</v>
      </c>
      <c r="H39" s="62" t="s">
        <v>29</v>
      </c>
      <c r="I39" s="78">
        <v>0.6</v>
      </c>
      <c r="J39" s="74">
        <f ca="1">I28-L39</f>
        <v>8127.5499403713548</v>
      </c>
      <c r="K39" s="74">
        <f ca="1">I28+L39</f>
        <v>8696.4500596286452</v>
      </c>
      <c r="L39" s="65">
        <f ca="1">0.841621*((I28*I29*I30)/I31)</f>
        <v>284.45005962864519</v>
      </c>
      <c r="N39" s="62" t="s">
        <v>29</v>
      </c>
      <c r="O39" s="78">
        <v>0.6</v>
      </c>
      <c r="P39" s="74">
        <f>O28-R39</f>
        <v>34165.392508333331</v>
      </c>
      <c r="Q39" s="74">
        <f>O28+R39</f>
        <v>35834.607491666669</v>
      </c>
      <c r="R39" s="65">
        <f>0.841621*((O28*O29*O30)/O31)</f>
        <v>834.60749166666653</v>
      </c>
      <c r="T39" s="62" t="s">
        <v>29</v>
      </c>
      <c r="U39" s="78">
        <v>0.6</v>
      </c>
      <c r="V39" s="74">
        <f ca="1">U28-X39</f>
        <v>6371.5010016128508</v>
      </c>
      <c r="W39" s="74">
        <f ca="1">U28+X39</f>
        <v>9468.4989983871492</v>
      </c>
      <c r="X39" s="65">
        <f ca="1">0.841621*((U28*U29*U30)/U31)</f>
        <v>1548.498998387149</v>
      </c>
    </row>
    <row r="40" spans="1:564" x14ac:dyDescent="0.2">
      <c r="B40" s="62" t="s">
        <v>28</v>
      </c>
      <c r="C40" s="78">
        <v>0.65</v>
      </c>
      <c r="D40" s="74">
        <f ca="1">C28-F40</f>
        <v>13226.297537926643</v>
      </c>
      <c r="E40" s="74">
        <f ca="1">C28+F40</f>
        <v>13747.702462073357</v>
      </c>
      <c r="F40" s="65">
        <f ca="1">0.934589*((C28*C29*C30)/C31)</f>
        <v>260.7024620733568</v>
      </c>
      <c r="H40" s="62" t="s">
        <v>28</v>
      </c>
      <c r="I40" s="78">
        <v>0.65</v>
      </c>
      <c r="J40" s="74">
        <f ca="1">I28-L40</f>
        <v>8096.1287268517826</v>
      </c>
      <c r="K40" s="74">
        <f ca="1">I28+L40</f>
        <v>8727.8712731482174</v>
      </c>
      <c r="L40" s="65">
        <f ca="1">0.934589*((I28*I29*I30)/I31)</f>
        <v>315.87127314821743</v>
      </c>
      <c r="N40" s="62" t="s">
        <v>28</v>
      </c>
      <c r="O40" s="78">
        <v>0.65</v>
      </c>
      <c r="P40" s="74">
        <f>O28-R40</f>
        <v>34073.199241666669</v>
      </c>
      <c r="Q40" s="74">
        <f>O28+R40</f>
        <v>35926.800758333331</v>
      </c>
      <c r="R40" s="65">
        <f>0.934589*((O28*O29*O30)/O31)</f>
        <v>926.80075833333331</v>
      </c>
      <c r="T40" s="62" t="s">
        <v>28</v>
      </c>
      <c r="U40" s="78">
        <v>0.65</v>
      </c>
      <c r="V40" s="74">
        <f ca="1">U28-X40</f>
        <v>6200.449120918267</v>
      </c>
      <c r="W40" s="74">
        <f ca="1">U28+X40</f>
        <v>9639.550879081733</v>
      </c>
      <c r="X40" s="65">
        <f ca="1">0.934589*((U28*U29*U30)/U31)</f>
        <v>1719.550879081733</v>
      </c>
    </row>
    <row r="41" spans="1:564" x14ac:dyDescent="0.2">
      <c r="B41" s="81" t="s">
        <v>0</v>
      </c>
      <c r="C41" s="79">
        <v>0.68259999999999998</v>
      </c>
      <c r="D41" s="75">
        <f ca="1">C28-F41</f>
        <v>13208.051219227535</v>
      </c>
      <c r="E41" s="75">
        <f ca="1">C28+F41</f>
        <v>13765.948780772465</v>
      </c>
      <c r="F41" s="76">
        <f ca="1">1*((C28*C29*C30)/C31)</f>
        <v>278.94878077246449</v>
      </c>
      <c r="H41" s="81" t="s">
        <v>0</v>
      </c>
      <c r="I41" s="79">
        <v>0.68259999999999998</v>
      </c>
      <c r="J41" s="75">
        <f ca="1">I28-L41</f>
        <v>8074.0211952545797</v>
      </c>
      <c r="K41" s="75">
        <f ca="1">I28+L41</f>
        <v>8749.9788047454203</v>
      </c>
      <c r="L41" s="76">
        <f ca="1">1*((I28*I29*I30)/I31)</f>
        <v>337.97880474542012</v>
      </c>
      <c r="N41" s="81" t="s">
        <v>0</v>
      </c>
      <c r="O41" s="79">
        <v>0.68259999999999998</v>
      </c>
      <c r="P41" s="75">
        <f>O28-R41</f>
        <v>34008.333333333336</v>
      </c>
      <c r="Q41" s="75">
        <f>O28+R41</f>
        <v>35991.666666666664</v>
      </c>
      <c r="R41" s="76">
        <f>1*((O28*O29*O30)/O31)</f>
        <v>991.66666666666663</v>
      </c>
      <c r="T41" s="81" t="s">
        <v>0</v>
      </c>
      <c r="U41" s="79">
        <v>0.68259999999999998</v>
      </c>
      <c r="V41" s="75">
        <f ca="1">U28-X41</f>
        <v>6080.0993815658721</v>
      </c>
      <c r="W41" s="75">
        <f ca="1">U28+X41</f>
        <v>9759.900618434127</v>
      </c>
      <c r="X41" s="76">
        <f ca="1">1*((U28*U29*U30)/U31)</f>
        <v>1839.9006184341276</v>
      </c>
    </row>
    <row r="42" spans="1:564" x14ac:dyDescent="0.2">
      <c r="B42" s="62" t="s">
        <v>34</v>
      </c>
      <c r="C42" s="78">
        <v>0.7</v>
      </c>
      <c r="D42" s="74">
        <f ca="1">C28-F42</f>
        <v>13197.888278297653</v>
      </c>
      <c r="E42" s="74">
        <f ca="1">C28+F42</f>
        <v>13776.111721702347</v>
      </c>
      <c r="F42" s="65">
        <f ca="1">1.036433*((C28*C29*C30)/C31)</f>
        <v>289.11172170234767</v>
      </c>
      <c r="H42" s="62" t="s">
        <v>34</v>
      </c>
      <c r="I42" s="78">
        <v>0.7</v>
      </c>
      <c r="J42" s="74">
        <f ca="1">I28-L42</f>
        <v>8061.7076134612898</v>
      </c>
      <c r="K42" s="74">
        <f ca="1">I28+L42</f>
        <v>8762.2923865387093</v>
      </c>
      <c r="L42" s="65">
        <f ca="1">1.036433*((I28*I29*I30)/I31)</f>
        <v>350.29238653870999</v>
      </c>
      <c r="N42" s="62" t="s">
        <v>34</v>
      </c>
      <c r="O42" s="78">
        <v>0.7</v>
      </c>
      <c r="P42" s="74">
        <f>O28-R42</f>
        <v>33972.203941666667</v>
      </c>
      <c r="Q42" s="74">
        <f>O28+R42</f>
        <v>36027.796058333333</v>
      </c>
      <c r="R42" s="65">
        <f>1.036433*((O28*O29*O30)/O31)</f>
        <v>1027.7960583333331</v>
      </c>
      <c r="T42" s="62" t="s">
        <v>34</v>
      </c>
      <c r="U42" s="78">
        <v>0.7</v>
      </c>
      <c r="V42" s="74">
        <f ca="1">U28-X42</f>
        <v>6013.0662823344619</v>
      </c>
      <c r="W42" s="74">
        <f ca="1">U28+X42</f>
        <v>9826.933717665539</v>
      </c>
      <c r="X42" s="65">
        <f ca="1">1.036433*((U28*U29*U30)/U31)</f>
        <v>1906.9337176655381</v>
      </c>
    </row>
    <row r="43" spans="1:564" x14ac:dyDescent="0.2">
      <c r="B43" s="62" t="s">
        <v>27</v>
      </c>
      <c r="C43" s="78">
        <v>0.75</v>
      </c>
      <c r="D43" s="74">
        <f ca="1">C28-F43</f>
        <v>13166.111270038395</v>
      </c>
      <c r="E43" s="74">
        <f ca="1">C28+F43</f>
        <v>13807.888729961605</v>
      </c>
      <c r="F43" s="65">
        <f ca="1">1.15035*((C28*C29*C30)/C31)</f>
        <v>320.8887299616045</v>
      </c>
      <c r="H43" s="62" t="s">
        <v>27</v>
      </c>
      <c r="I43" s="78">
        <v>0.75</v>
      </c>
      <c r="J43" s="74">
        <f ca="1">I28-L43</f>
        <v>8023.2060819611061</v>
      </c>
      <c r="K43" s="74">
        <f ca="1">I28+L43</f>
        <v>8800.7939180388948</v>
      </c>
      <c r="L43" s="65">
        <f ca="1">1.15035*((I28*I29*I30)/I31)</f>
        <v>388.79391803889405</v>
      </c>
      <c r="N43" s="62" t="s">
        <v>27</v>
      </c>
      <c r="O43" s="78">
        <v>0.75</v>
      </c>
      <c r="P43" s="74">
        <f>O28-R43</f>
        <v>33859.236250000002</v>
      </c>
      <c r="Q43" s="74">
        <f>O28+R43</f>
        <v>36140.763749999998</v>
      </c>
      <c r="R43" s="65">
        <f>1.15035*((O28*O29*O30)/O31)</f>
        <v>1140.7637499999998</v>
      </c>
      <c r="T43" s="62" t="s">
        <v>27</v>
      </c>
      <c r="U43" s="78">
        <v>0.75</v>
      </c>
      <c r="V43" s="74">
        <f ca="1">U28-X43</f>
        <v>5803.4703235843008</v>
      </c>
      <c r="W43" s="74">
        <f ca="1">U28+X43</f>
        <v>10036.529676415699</v>
      </c>
      <c r="X43" s="65">
        <f ca="1">1.15035*((U28*U29*U30)/U31)</f>
        <v>2116.5296764156988</v>
      </c>
    </row>
    <row r="44" spans="1:564" x14ac:dyDescent="0.2">
      <c r="B44" s="62" t="s">
        <v>26</v>
      </c>
      <c r="C44" s="78">
        <v>0.8</v>
      </c>
      <c r="D44" s="74">
        <f ca="1">C28-F44</f>
        <v>13129.512911052267</v>
      </c>
      <c r="E44" s="74">
        <f ca="1">C28+F44</f>
        <v>13844.487088947733</v>
      </c>
      <c r="F44" s="65">
        <f ca="1">1.281551*((C28*C29*C30)/C31)</f>
        <v>357.48708894773267</v>
      </c>
      <c r="H44" s="62" t="s">
        <v>26</v>
      </c>
      <c r="I44" s="78">
        <v>0.8</v>
      </c>
      <c r="J44" s="74">
        <f ca="1">I28-L44</f>
        <v>7978.8629247997023</v>
      </c>
      <c r="K44" s="74">
        <f ca="1">I28+L44</f>
        <v>8845.1370752002986</v>
      </c>
      <c r="L44" s="65">
        <f ca="1">1.281551*((I28*I29*I30)/I31)</f>
        <v>433.13707520029794</v>
      </c>
      <c r="N44" s="62" t="s">
        <v>26</v>
      </c>
      <c r="O44" s="78">
        <v>0.8</v>
      </c>
      <c r="P44" s="74">
        <f>O28-R44</f>
        <v>33729.128591666667</v>
      </c>
      <c r="Q44" s="74">
        <f>O28+R44</f>
        <v>36270.871408333333</v>
      </c>
      <c r="R44" s="65">
        <f>1.281551*((O28*O29*O30)/O31)</f>
        <v>1270.8714083333334</v>
      </c>
      <c r="T44" s="62" t="s">
        <v>26</v>
      </c>
      <c r="U44" s="78">
        <v>0.8</v>
      </c>
      <c r="V44" s="74">
        <f ca="1">U28-X44</f>
        <v>5562.0735225451244</v>
      </c>
      <c r="W44" s="74">
        <f ca="1">U28+X44</f>
        <v>10277.926477454876</v>
      </c>
      <c r="X44" s="65">
        <f ca="1">1.281551*((U28*U29*U30)/U31)</f>
        <v>2357.9264774548751</v>
      </c>
    </row>
    <row r="45" spans="1:564" x14ac:dyDescent="0.2">
      <c r="B45" s="62" t="s">
        <v>35</v>
      </c>
      <c r="C45" s="78">
        <v>0.85</v>
      </c>
      <c r="D45" s="74">
        <f ca="1">C28-F45</f>
        <v>13085.444582665834</v>
      </c>
      <c r="E45" s="74">
        <f ca="1">C28+F45</f>
        <v>13888.555417334166</v>
      </c>
      <c r="F45" s="65">
        <f ca="1">1.439531*((C28*C29*C30)/C31)</f>
        <v>401.55541733416652</v>
      </c>
      <c r="H45" s="62" t="s">
        <v>35</v>
      </c>
      <c r="I45" s="78">
        <v>0.85</v>
      </c>
      <c r="J45" s="74">
        <f ca="1">I28-L45</f>
        <v>7925.4690332260207</v>
      </c>
      <c r="K45" s="74">
        <f ca="1">I28+L45</f>
        <v>8898.5309667739784</v>
      </c>
      <c r="L45" s="65">
        <f ca="1">1.439531*((I28*I29*I30)/I31)</f>
        <v>486.53096677397934</v>
      </c>
      <c r="N45" s="62" t="s">
        <v>35</v>
      </c>
      <c r="O45" s="78">
        <v>0.85</v>
      </c>
      <c r="P45" s="74">
        <f>O28-R45</f>
        <v>33572.465091666665</v>
      </c>
      <c r="Q45" s="74">
        <f>O28+R45</f>
        <v>36427.534908333335</v>
      </c>
      <c r="R45" s="65">
        <f>1.439531*((O28*O29*O30)/O31)</f>
        <v>1427.5349083333331</v>
      </c>
      <c r="T45" s="62" t="s">
        <v>35</v>
      </c>
      <c r="U45" s="78">
        <v>0.85</v>
      </c>
      <c r="V45" s="74">
        <f ca="1">U28-X45</f>
        <v>5271.4060228449016</v>
      </c>
      <c r="W45" s="74">
        <f ca="1">U28+X45</f>
        <v>10568.593977155098</v>
      </c>
      <c r="X45" s="65">
        <f ca="1">1.439531*((U28*U29*U30)/U31)</f>
        <v>2648.5939771550979</v>
      </c>
    </row>
    <row r="46" spans="1:564" x14ac:dyDescent="0.2">
      <c r="B46" s="62" t="s">
        <v>25</v>
      </c>
      <c r="C46" s="78">
        <v>0.9</v>
      </c>
      <c r="D46" s="74">
        <f ca="1">C28-F46</f>
        <v>13028.171097946411</v>
      </c>
      <c r="E46" s="74">
        <f ca="1">C28+F46</f>
        <v>13945.828902053589</v>
      </c>
      <c r="F46" s="65">
        <f ca="1">1.64485*((C28*C29*C30)/C31)</f>
        <v>458.82890205358819</v>
      </c>
      <c r="H46" s="62" t="s">
        <v>25</v>
      </c>
      <c r="I46" s="78">
        <v>0.9</v>
      </c>
      <c r="J46" s="74">
        <f ca="1">I28-L46</f>
        <v>7856.0755630144959</v>
      </c>
      <c r="K46" s="74">
        <f ca="1">I28+L46</f>
        <v>8967.9244369855041</v>
      </c>
      <c r="L46" s="65">
        <f ca="1">1.64485*((I28*I29*I30)/I31)</f>
        <v>555.92443698550426</v>
      </c>
      <c r="N46" s="62" t="s">
        <v>25</v>
      </c>
      <c r="O46" s="78">
        <v>0.9</v>
      </c>
      <c r="P46" s="74">
        <f>O28-R46</f>
        <v>33368.857083333336</v>
      </c>
      <c r="Q46" s="74">
        <f>O28+R46</f>
        <v>36631.142916666664</v>
      </c>
      <c r="R46" s="65">
        <f>1.64485*((O28*O29*O30)/O31)</f>
        <v>1631.1429166666665</v>
      </c>
      <c r="T46" s="62" t="s">
        <v>25</v>
      </c>
      <c r="U46" s="78">
        <v>0.9</v>
      </c>
      <c r="V46" s="74">
        <f ca="1">U28-X46</f>
        <v>4893.6394677686258</v>
      </c>
      <c r="W46" s="74">
        <f ca="1">U28+X46</f>
        <v>10946.360532231374</v>
      </c>
      <c r="X46" s="65">
        <f ca="1">1.64485*((U28*U29*U30)/U31)</f>
        <v>3026.3605322313747</v>
      </c>
    </row>
    <row r="47" spans="1:564" x14ac:dyDescent="0.2">
      <c r="B47" s="81" t="s">
        <v>4</v>
      </c>
      <c r="C47" s="79">
        <v>0.95440000000000003</v>
      </c>
      <c r="D47" s="75">
        <f ca="1">C28-F47</f>
        <v>12929.102438455071</v>
      </c>
      <c r="E47" s="75">
        <f ca="1">C28+F47</f>
        <v>14044.897561544929</v>
      </c>
      <c r="F47" s="76">
        <f ca="1">2*((C28*C29*C30)/C31)</f>
        <v>557.89756154492898</v>
      </c>
      <c r="H47" s="81" t="s">
        <v>4</v>
      </c>
      <c r="I47" s="79">
        <v>0.95440000000000003</v>
      </c>
      <c r="J47" s="75">
        <f ca="1">I28-L47</f>
        <v>7736.0423905091593</v>
      </c>
      <c r="K47" s="75">
        <f ca="1">I28+L47</f>
        <v>9087.9576094908407</v>
      </c>
      <c r="L47" s="76">
        <f ca="1">2*((I28*I29*I30)/I31)</f>
        <v>675.95760949084024</v>
      </c>
      <c r="N47" s="81" t="s">
        <v>4</v>
      </c>
      <c r="O47" s="79">
        <v>0.95440000000000003</v>
      </c>
      <c r="P47" s="75">
        <f>O28-R47</f>
        <v>33016.666666666664</v>
      </c>
      <c r="Q47" s="75">
        <f>O28+R47</f>
        <v>36983.333333333336</v>
      </c>
      <c r="R47" s="76">
        <f>2*((O28*O29*O30)/O31)</f>
        <v>1983.3333333333333</v>
      </c>
      <c r="T47" s="81" t="s">
        <v>4</v>
      </c>
      <c r="U47" s="79">
        <v>0.95440000000000003</v>
      </c>
      <c r="V47" s="75">
        <f ca="1">U28-X47</f>
        <v>4240.1987631317443</v>
      </c>
      <c r="W47" s="75">
        <f ca="1">U28+X47</f>
        <v>11599.801236868256</v>
      </c>
      <c r="X47" s="76">
        <f ca="1">2*((U28*U29*U30)/U31)</f>
        <v>3679.8012368682553</v>
      </c>
    </row>
    <row r="48" spans="1:564" x14ac:dyDescent="0.2">
      <c r="B48" s="62" t="s">
        <v>24</v>
      </c>
      <c r="C48" s="78">
        <v>0.98</v>
      </c>
      <c r="D48" s="74">
        <f ca="1">C28-F48</f>
        <v>12838.068061747539</v>
      </c>
      <c r="E48" s="74">
        <f ca="1">C28+F48</f>
        <v>14135.931938252461</v>
      </c>
      <c r="F48" s="65">
        <f ca="1">2.326348*((C28*C29*C30)/C31)</f>
        <v>648.93193825246112</v>
      </c>
      <c r="H48" s="62" t="s">
        <v>24</v>
      </c>
      <c r="I48" s="78">
        <v>0.98</v>
      </c>
      <c r="J48" s="74">
        <f ca="1">I28-L48</f>
        <v>7625.7436835381013</v>
      </c>
      <c r="K48" s="74">
        <f ca="1">I28+L48</f>
        <v>9198.2563164618987</v>
      </c>
      <c r="L48" s="65">
        <f ca="1">2.326348*((I28*I29*I30)/I31)</f>
        <v>786.25631646189856</v>
      </c>
      <c r="N48" s="62" t="s">
        <v>24</v>
      </c>
      <c r="O48" s="78">
        <v>0.98</v>
      </c>
      <c r="P48" s="74">
        <f>O28-R48</f>
        <v>32693.038233333333</v>
      </c>
      <c r="Q48" s="74">
        <f>O28+R48</f>
        <v>37306.961766666667</v>
      </c>
      <c r="R48" s="65">
        <f>2.326348*((O28*O29*O30)/O31)</f>
        <v>2306.9617666666663</v>
      </c>
      <c r="T48" s="62" t="s">
        <v>24</v>
      </c>
      <c r="U48" s="78">
        <v>0.98</v>
      </c>
      <c r="V48" s="74">
        <f ca="1">U28-X48</f>
        <v>3639.7508761070039</v>
      </c>
      <c r="W48" s="74">
        <f ca="1">U28+X48</f>
        <v>12200.249123892996</v>
      </c>
      <c r="X48" s="65">
        <f ca="1">2.326348*((U28*U29*U30)/U31)</f>
        <v>4280.2491238929961</v>
      </c>
    </row>
    <row r="49" spans="2:24" x14ac:dyDescent="0.2">
      <c r="B49" s="62" t="s">
        <v>23</v>
      </c>
      <c r="C49" s="78">
        <v>0.99</v>
      </c>
      <c r="D49" s="74">
        <f ca="1">C28-F49</f>
        <v>12768.475362022862</v>
      </c>
      <c r="E49" s="74">
        <f ca="1">C28+F49</f>
        <v>14205.524637977138</v>
      </c>
      <c r="F49" s="65">
        <f ca="1">2.57583*((C28*C29*C30)/C31)</f>
        <v>718.5246379771371</v>
      </c>
      <c r="H49" s="62" t="s">
        <v>23</v>
      </c>
      <c r="I49" s="78">
        <v>0.99</v>
      </c>
      <c r="J49" s="74">
        <f ca="1">I28-L49</f>
        <v>7541.4240553726049</v>
      </c>
      <c r="K49" s="74">
        <f ca="1">I28+L49</f>
        <v>9282.5759446273951</v>
      </c>
      <c r="L49" s="65">
        <f ca="1">2.57583*((I28*I29*I30)/I31)</f>
        <v>870.57594462739542</v>
      </c>
      <c r="N49" s="62" t="s">
        <v>23</v>
      </c>
      <c r="O49" s="78">
        <v>0.99</v>
      </c>
      <c r="P49" s="74">
        <f>O28-R49</f>
        <v>32445.635249999999</v>
      </c>
      <c r="Q49" s="74">
        <f>O28+R49</f>
        <v>37554.364750000001</v>
      </c>
      <c r="R49" s="65">
        <f>2.57583*((O28*O29*O30)/O31)</f>
        <v>2554.3647499999997</v>
      </c>
      <c r="T49" s="62" t="s">
        <v>23</v>
      </c>
      <c r="U49" s="78">
        <v>0.99</v>
      </c>
      <c r="V49" s="74">
        <f ca="1">U28-X49</f>
        <v>3180.7287900188212</v>
      </c>
      <c r="W49" s="74">
        <f ca="1">U28+X49</f>
        <v>12659.27120998118</v>
      </c>
      <c r="X49" s="65">
        <f ca="1">2.57583*((U28*U29*U30)/U31)</f>
        <v>4739.2712099811788</v>
      </c>
    </row>
    <row r="50" spans="2:24" x14ac:dyDescent="0.2">
      <c r="B50" s="81" t="s">
        <v>22</v>
      </c>
      <c r="C50" s="79">
        <v>0.99739999999999995</v>
      </c>
      <c r="D50" s="75">
        <f ca="1">C28-F50</f>
        <v>12650.153657682607</v>
      </c>
      <c r="E50" s="75">
        <f ca="1">C28+F50</f>
        <v>14323.846342317393</v>
      </c>
      <c r="F50" s="76">
        <f ca="1">3*((C28*C29*C30)/C31)</f>
        <v>836.84634231739346</v>
      </c>
      <c r="H50" s="81" t="s">
        <v>22</v>
      </c>
      <c r="I50" s="79">
        <v>0.99739999999999995</v>
      </c>
      <c r="J50" s="75">
        <f ca="1">I28-L50</f>
        <v>7398.0635857637399</v>
      </c>
      <c r="K50" s="75">
        <f ca="1">I28+L50</f>
        <v>9425.936414236261</v>
      </c>
      <c r="L50" s="76">
        <f ca="1">3*((I28*I29*I30)/I31)</f>
        <v>1013.9364142362604</v>
      </c>
      <c r="N50" s="81" t="s">
        <v>22</v>
      </c>
      <c r="O50" s="79">
        <v>0.99739999999999995</v>
      </c>
      <c r="P50" s="75">
        <f>O28-R50</f>
        <v>32025</v>
      </c>
      <c r="Q50" s="75">
        <f>O28+R50</f>
        <v>37975</v>
      </c>
      <c r="R50" s="76">
        <f>3*((O28*O29*O30)/O31)</f>
        <v>2975</v>
      </c>
      <c r="T50" s="81" t="s">
        <v>22</v>
      </c>
      <c r="U50" s="79">
        <v>0.99739999999999995</v>
      </c>
      <c r="V50" s="75">
        <f ca="1">U28-X50</f>
        <v>2400.2981446976173</v>
      </c>
      <c r="W50" s="75">
        <f ca="1">U28+X50</f>
        <v>13439.701855302383</v>
      </c>
      <c r="X50" s="76">
        <f ca="1">3*((U28*U29*U30)/U31)</f>
        <v>5519.7018553023827</v>
      </c>
    </row>
    <row r="51" spans="2:24" x14ac:dyDescent="0.2">
      <c r="B51" s="97" t="s">
        <v>44</v>
      </c>
      <c r="C51" s="98">
        <v>0.99990000000000001</v>
      </c>
      <c r="D51" s="99">
        <f ca="1">C28-F51</f>
        <v>12371.204876910142</v>
      </c>
      <c r="E51" s="99">
        <f ca="1">C28+F51</f>
        <v>14602.795123089858</v>
      </c>
      <c r="F51" s="100">
        <f ca="1">4*((C28*C29*C30)/C31)</f>
        <v>1115.795123089858</v>
      </c>
      <c r="H51" s="97" t="s">
        <v>44</v>
      </c>
      <c r="I51" s="98">
        <v>0.99990000000000001</v>
      </c>
      <c r="J51" s="99">
        <f ca="1">I28-L51</f>
        <v>7060.0847810183195</v>
      </c>
      <c r="K51" s="99">
        <f ca="1">I28+L51</f>
        <v>9763.9152189816814</v>
      </c>
      <c r="L51" s="100">
        <f ca="1">4*((I28*I29*I30)/I31)</f>
        <v>1351.9152189816805</v>
      </c>
      <c r="N51" s="97" t="s">
        <v>44</v>
      </c>
      <c r="O51" s="98">
        <v>0.99990000000000001</v>
      </c>
      <c r="P51" s="99">
        <f>O28-R51</f>
        <v>31033.333333333332</v>
      </c>
      <c r="Q51" s="99">
        <f>O28+R51</f>
        <v>38966.666666666664</v>
      </c>
      <c r="R51" s="100">
        <f>4*((O28*O29*O30)/O31)</f>
        <v>3966.6666666666665</v>
      </c>
      <c r="T51" s="97" t="s">
        <v>44</v>
      </c>
      <c r="U51" s="98">
        <v>0.99990000000000001</v>
      </c>
      <c r="V51" s="99">
        <f ca="1">U28-X51</f>
        <v>560.39752626348945</v>
      </c>
      <c r="W51" s="99">
        <f ca="1">U28+X51</f>
        <v>15279.602473736511</v>
      </c>
      <c r="X51" s="100">
        <f ca="1">4*((U28*U29*U30)/U31)</f>
        <v>7359.6024737365105</v>
      </c>
    </row>
    <row r="52" spans="2:24" ht="16" thickBot="1" x14ac:dyDescent="0.25">
      <c r="B52" s="82" t="s">
        <v>45</v>
      </c>
      <c r="C52" s="80">
        <v>1</v>
      </c>
      <c r="D52" s="66">
        <f ca="1">C28-F52</f>
        <v>11257.752923578773</v>
      </c>
      <c r="E52" s="66">
        <f ca="1">C28+F52</f>
        <v>15716.247076421227</v>
      </c>
      <c r="F52" s="67">
        <f ca="1">7.9916*((C28*C29*C30)/C31)</f>
        <v>2229.2470764212271</v>
      </c>
      <c r="H52" s="82" t="s">
        <v>45</v>
      </c>
      <c r="I52" s="80">
        <v>1</v>
      </c>
      <c r="J52" s="66">
        <f ca="1">I28-L52</f>
        <v>5711.0085839965004</v>
      </c>
      <c r="K52" s="66">
        <f ca="1">I28+L52</f>
        <v>11112.9914160035</v>
      </c>
      <c r="L52" s="67">
        <f ca="1">7.9916*((I28*I29*I30)/I31)</f>
        <v>2700.9914160034996</v>
      </c>
      <c r="N52" s="82" t="s">
        <v>45</v>
      </c>
      <c r="O52" s="80">
        <v>1</v>
      </c>
      <c r="P52" s="66">
        <f>O28-R52</f>
        <v>27074.996666666666</v>
      </c>
      <c r="Q52" s="66">
        <f>O28+R52</f>
        <v>42925.003333333334</v>
      </c>
      <c r="R52" s="67">
        <f>7.9916*((O28*O29*O30)/O31)</f>
        <v>7925.0033333333331</v>
      </c>
      <c r="T52" s="82" t="s">
        <v>45</v>
      </c>
      <c r="U52" s="80">
        <v>1</v>
      </c>
      <c r="V52" s="66">
        <f ca="1">U28-X52</f>
        <v>-6783.7497822781752</v>
      </c>
      <c r="W52" s="66">
        <f ca="1">U28+X52</f>
        <v>22623.749782278173</v>
      </c>
      <c r="X52" s="67">
        <f ca="1">7.9916*((U28*U29*U30)/U31)</f>
        <v>14703.749782278175</v>
      </c>
    </row>
    <row r="54" spans="2:24" x14ac:dyDescent="0.2">
      <c r="K54" s="103"/>
    </row>
    <row r="55" spans="2:24" x14ac:dyDescent="0.2">
      <c r="B55" s="107"/>
      <c r="C55" s="107"/>
      <c r="N55" s="102"/>
    </row>
    <row r="56" spans="2:24" x14ac:dyDescent="0.2">
      <c r="B56" s="103"/>
      <c r="C56" s="103"/>
    </row>
    <row r="57" spans="2:24" ht="19" x14ac:dyDescent="0.2">
      <c r="B57" s="103"/>
      <c r="C57" s="103"/>
      <c r="J57" s="101"/>
    </row>
    <row r="58" spans="2:24" x14ac:dyDescent="0.2">
      <c r="B58" s="107"/>
      <c r="C58" s="107"/>
    </row>
    <row r="59" spans="2:24" x14ac:dyDescent="0.2">
      <c r="B59" s="107"/>
      <c r="C59" s="107"/>
    </row>
    <row r="60" spans="2:24" x14ac:dyDescent="0.2">
      <c r="B60" s="107"/>
      <c r="C60" s="107"/>
    </row>
  </sheetData>
  <sortState xmlns:xlrd2="http://schemas.microsoft.com/office/spreadsheetml/2017/richdata2" ref="H36:L51">
    <sortCondition ref="I36:I51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C6E0-9B08-274F-98CE-835DDF6A6F05}">
  <dimension ref="A1:B7"/>
  <sheetViews>
    <sheetView workbookViewId="0">
      <selection sqref="A1:D7"/>
    </sheetView>
  </sheetViews>
  <sheetFormatPr baseColWidth="10" defaultRowHeight="15" x14ac:dyDescent="0.2"/>
  <sheetData>
    <row r="1" spans="1:2" x14ac:dyDescent="0.2">
      <c r="A1" t="s">
        <v>55</v>
      </c>
    </row>
    <row r="2" spans="1:2" x14ac:dyDescent="0.2">
      <c r="A2" s="107" t="s">
        <v>53</v>
      </c>
      <c r="B2" s="107" t="s">
        <v>48</v>
      </c>
    </row>
    <row r="3" spans="1:2" x14ac:dyDescent="0.2">
      <c r="A3" s="103" t="s">
        <v>54</v>
      </c>
      <c r="B3" s="103" t="s">
        <v>47</v>
      </c>
    </row>
    <row r="4" spans="1:2" x14ac:dyDescent="0.2">
      <c r="A4" s="103"/>
      <c r="B4" s="103" t="s">
        <v>49</v>
      </c>
    </row>
    <row r="5" spans="1:2" x14ac:dyDescent="0.2">
      <c r="A5" s="107"/>
      <c r="B5" s="107" t="s">
        <v>50</v>
      </c>
    </row>
    <row r="6" spans="1:2" x14ac:dyDescent="0.2">
      <c r="A6" s="107"/>
      <c r="B6" s="107" t="s">
        <v>51</v>
      </c>
    </row>
    <row r="7" spans="1:2" x14ac:dyDescent="0.2">
      <c r="A7" s="107"/>
      <c r="B7" s="10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Std Dev Prob</vt:lpstr>
      <vt:lpstr>Alf Formulas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McMaster</dc:creator>
  <cp:lastModifiedBy>Microsoft Office User</cp:lastModifiedBy>
  <dcterms:created xsi:type="dcterms:W3CDTF">2012-12-04T14:21:05Z</dcterms:created>
  <dcterms:modified xsi:type="dcterms:W3CDTF">2021-11-23T20:36:38Z</dcterms:modified>
</cp:coreProperties>
</file>